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>
    <mc:Choice Requires="x15">
      <x15ac:absPath xmlns:x15ac="http://schemas.microsoft.com/office/spreadsheetml/2010/11/ac" url="V:\Reg Affairs\Reg Relations\Rate Cases - CMP\Iowa\RPU-2019-0001 Electric Rate Review\IPL Activity\Quarterly RER_08 31 20\"/>
    </mc:Choice>
  </mc:AlternateContent>
  <xr:revisionPtr revIDLastSave="0" documentId="8_{95674CCF-7343-4D88-A369-7730AA3AB725}" xr6:coauthVersionLast="41" xr6:coauthVersionMax="41" xr10:uidLastSave="{00000000-0000-0000-0000-000000000000}"/>
  <bookViews>
    <workbookView xWindow="1920" yWindow="288" windowWidth="17064" windowHeight="12072" xr2:uid="{A1A1B9B1-78F3-41E9-BD9D-564CA20D7DB9}"/>
  </bookViews>
  <sheets>
    <sheet name="Sch. A - Summary" sheetId="5" r:id="rId1"/>
    <sheet name="Sch. B - Rate Base" sheetId="3" r:id="rId2"/>
    <sheet name="Sch. C - Cost of Service" sheetId="1" r:id="rId3"/>
    <sheet name="WP 1 - MWh Sales" sheetId="10" r:id="rId4"/>
    <sheet name="WP 2 - YTD RER Rev." sheetId="9" r:id="rId5"/>
    <sheet name="WP 3 - 2020 Calendarization" sheetId="4" r:id="rId6"/>
    <sheet name="WP 4- Tax Rates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tet12" hidden="1">{"assumptions",#N/A,FALSE,"Scenario 1";"valuation",#N/A,FALSE,"Scenario 1"}</definedName>
    <definedName name="___tet5" hidden="1">{"assumptions",#N/A,FALSE,"Scenario 1";"valuation",#N/A,FALSE,"Scenario 1"}</definedName>
    <definedName name="__123Graph_D" hidden="1">'[1]Gas Inputs'!#REF!</definedName>
    <definedName name="__123Graph_E" hidden="1">'[2]Gas Inputs'!#REF!</definedName>
    <definedName name="__FDS_HYPERLINK_TOGGLE_STATE__" hidden="1">"ON"</definedName>
    <definedName name="__FDS_UNIQUE_RANGE_ID_GENERATOR_COUNTER" hidden="1">31</definedName>
    <definedName name="__FDS_USED_FOR_REUSING_RANGE_IDS_RECYCLE" hidden="1">{20,19,22,21,24,23,26,25,28,27,14,13,16,15,18,17,3,4,12,11,2,1,6,5,8,7,10,9,29,53,53,53,53,53,53,53,53,53,53,53,114,114,114,114,114,114,114,114,114,114,114}</definedName>
    <definedName name="_1__123Graph_ACHART_1" hidden="1">'[3]Cash Out Table'!$I$11:$I$39</definedName>
    <definedName name="_1__123Graph_ACONTRACT_BY_B_U" hidden="1">'[4]QRE Charts'!$D$275:$Q$275</definedName>
    <definedName name="_10__123Graph_AWAGES_BY_B_U" hidden="1">'[5]QRE Charts'!$D$223:$R$223</definedName>
    <definedName name="_10__123Graph_BQRE_S_BY_TYPE" hidden="1">'[4]QRE''s'!$D$100:$R$100</definedName>
    <definedName name="_11__123Graph_BCONTRACT_BY_B_U" hidden="1">'[5]QRE Charts'!$D$276:$Q$276</definedName>
    <definedName name="_11__123Graph_BSENS_COMPARISON" hidden="1">'[4]QRE Charts'!$E$366:$O$366</definedName>
    <definedName name="_12__123Graph_BQRE_S_BY_CO." hidden="1">'[5]QRE Charts'!$D$302:$R$302</definedName>
    <definedName name="_12__123Graph_BSUPPLIES_BY_B_U" hidden="1">'[4]QRE Charts'!$D$250:$Q$250</definedName>
    <definedName name="_13__123Graph_BQRE_S_BY_TYPE" hidden="1">'[5]QRE''s'!$D$100:$R$100</definedName>
    <definedName name="_13__123Graph_BTAX_CREDIT" hidden="1">'[4]QRE Charts'!$E$332:$E$342</definedName>
    <definedName name="_14__123Graph_BSENS_COMPARISON" hidden="1">'[5]QRE Charts'!$E$366:$O$366</definedName>
    <definedName name="_14__123Graph_BWAGES_BY_B_U" hidden="1">'[4]QRE Charts'!$D$224:$R$224</definedName>
    <definedName name="_15__123Graph_BSUPPLIES_BY_B_U" hidden="1">'[5]QRE Charts'!$D$250:$Q$250</definedName>
    <definedName name="_15__123Graph_CCONTRACT_BY_B_U" hidden="1">'[4]QRE Charts'!$D$277:$Q$277</definedName>
    <definedName name="_16__123Graph_BTAX_CREDIT" hidden="1">'[5]QRE Charts'!$E$332:$E$342</definedName>
    <definedName name="_16__123Graph_CQRE_S_BY_CO." hidden="1">'[4]QRE Charts'!$D$303:$R$303</definedName>
    <definedName name="_17__123Graph_BWAGES_BY_B_U" hidden="1">'[5]QRE Charts'!$D$224:$R$224</definedName>
    <definedName name="_17__123Graph_CQRE_S_BY_TYPE" hidden="1">'[4]QRE''s'!$D$101:$R$101</definedName>
    <definedName name="_18__123Graph_CCONTRACT_BY_B_U" hidden="1">'[5]QRE Charts'!$D$277:$Q$277</definedName>
    <definedName name="_18__123Graph_CSENS_COMPARISON" hidden="1">'[4]QRE Charts'!$E$367:$O$367</definedName>
    <definedName name="_19__123Graph_CQRE_S_BY_CO." hidden="1">'[5]QRE Charts'!$D$303:$R$303</definedName>
    <definedName name="_19__123Graph_CSUPPLIES_BY_B_U" hidden="1">'[4]QRE Charts'!$D$251:$Q$251</definedName>
    <definedName name="_2__123Graph_ACHART_2" hidden="1">'[3]Net Cash Table'!$F$11:$F$39</definedName>
    <definedName name="_2__123Graph_AQRE_S_BY_CO." hidden="1">'[4]QRE Charts'!$D$301:$R$301</definedName>
    <definedName name="_20__123Graph_CQRE_S_BY_TYPE" hidden="1">'[5]QRE''s'!$D$101:$R$101</definedName>
    <definedName name="_20__123Graph_CWAGES_BY_B_U" hidden="1">'[4]QRE Charts'!$D$225:$R$225</definedName>
    <definedName name="_21__123Graph_CSENS_COMPARISON" hidden="1">'[5]QRE Charts'!$E$367:$O$367</definedName>
    <definedName name="_21__123Graph_DCONTRACT_BY_B_U" hidden="1">'[4]QRE Charts'!$D$278:$Q$278</definedName>
    <definedName name="_22__123Graph_CSUPPLIES_BY_B_U" hidden="1">'[5]QRE Charts'!$D$251:$Q$251</definedName>
    <definedName name="_22__123Graph_DQRE_S_BY_CO." hidden="1">'[4]QRE Charts'!$D$304:$R$304</definedName>
    <definedName name="_23__123Graph_CWAGES_BY_B_U" hidden="1">'[5]QRE Charts'!$D$225:$R$225</definedName>
    <definedName name="_23__123Graph_DSUPPLIES_BY_B_U" hidden="1">'[4]QRE Charts'!$D$252:$Q$252</definedName>
    <definedName name="_24__123Graph_DCONTRACT_BY_B_U" hidden="1">'[5]QRE Charts'!$D$278:$Q$278</definedName>
    <definedName name="_24__123Graph_DWAGES_BY_B_U" hidden="1">'[4]QRE Charts'!$D$226:$R$226</definedName>
    <definedName name="_25__123Graph_DQRE_S_BY_CO." hidden="1">'[5]QRE Charts'!$D$304:$R$304</definedName>
    <definedName name="_25__123Graph_ECONTRACT_BY_B_U" hidden="1">'[4]QRE Charts'!$D$279:$Q$279</definedName>
    <definedName name="_26__123Graph_DSUPPLIES_BY_B_U" hidden="1">'[5]QRE Charts'!$D$252:$Q$252</definedName>
    <definedName name="_26__123Graph_EQRE_S_BY_CO." hidden="1">'[4]QRE Charts'!$D$305:$R$305</definedName>
    <definedName name="_27__123Graph_DWAGES_BY_B_U" hidden="1">'[5]QRE Charts'!$D$226:$R$226</definedName>
    <definedName name="_27__123Graph_ESUPPLIES_BY_B_U" hidden="1">'[4]QRE Charts'!$D$253:$Q$253</definedName>
    <definedName name="_28__123Graph_ECONTRACT_BY_B_U" hidden="1">'[5]QRE Charts'!$D$279:$Q$279</definedName>
    <definedName name="_28__123Graph_EWAGES_BY_B_U" hidden="1">'[4]QRE Charts'!$D$227:$R$227</definedName>
    <definedName name="_29__123Graph_EQRE_S_BY_CO." hidden="1">'[5]QRE Charts'!$D$305:$R$305</definedName>
    <definedName name="_29__123Graph_FCONTRACT_BY_B_U" hidden="1">'[4]QRE Charts'!$D$280:$Q$280</definedName>
    <definedName name="_3__123Graph_AQRE_S_BY_TYPE" hidden="1">'[4]QRE''s'!$D$99:$R$99</definedName>
    <definedName name="_3__123Graph_BCHART_1" hidden="1">'[3]Cash Out Table'!$G$11:$G$39</definedName>
    <definedName name="_30__123Graph_ESUPPLIES_BY_B_U" hidden="1">'[5]QRE Charts'!$D$253:$Q$253</definedName>
    <definedName name="_30__123Graph_FQRE_S_BY_CO." hidden="1">'[4]QRE Charts'!$D$306:$R$306</definedName>
    <definedName name="_30__FDSAUDITLINK__" hidden="1"><![CDATA[{"fdsup://IBCentral/FAT Viewer?action=UPDATE&creator=factset&DOC_NAME=fat:reuters_qtrly_source_window.fat&display_string=Audit&DYN_ARGS=TRUE&VAR:ID1=46568510&VAR:RCODE=STLD&VAR:SDATE=20090699&VAR:FREQ=Quarterly&VAR:RELITEM=RP&VAR:CURRENCY=&VAR:CURRSOURCE=EX","SHARE&VAR:NATFREQ=QUARTERLY&VAR:RFIELD=FINALIZED&VAR:DB_TYPE=&VAR:UNITS=M&window=popup&width=450&height=300&START_MAXIMIZED=FALSE"}]]></definedName>
    <definedName name="_31__123Graph_EWAGES_BY_B_U" hidden="1">'[5]QRE Charts'!$D$227:$R$227</definedName>
    <definedName name="_31__123Graph_FSUPPLIES_BY_B_U" hidden="1">'[4]QRE Charts'!$D$254:$Q$254</definedName>
    <definedName name="_32__123Graph_FCONTRACT_BY_B_U" hidden="1">'[5]QRE Charts'!$D$280:$Q$280</definedName>
    <definedName name="_32__123Graph_FWAGES_BY_B_U" hidden="1">'[4]QRE Charts'!$D$228:$R$228</definedName>
    <definedName name="_33__123Graph_FQRE_S_BY_CO." hidden="1">'[5]QRE Charts'!$D$306:$R$306</definedName>
    <definedName name="_33__123Graph_XCONTRACT_BY_B_U" hidden="1">'[4]QRE Charts'!$D$222:$R$222</definedName>
    <definedName name="_34__123Graph_FSUPPLIES_BY_B_U" hidden="1">'[5]QRE Charts'!$D$254:$Q$254</definedName>
    <definedName name="_34__123Graph_XQRE_S_BY_CO." hidden="1">'[4]QRE Charts'!$D$222:$R$222</definedName>
    <definedName name="_35__123Graph_FWAGES_BY_B_U" hidden="1">'[5]QRE Charts'!$D$228:$R$228</definedName>
    <definedName name="_35__123Graph_XQRE_S_BY_TYPE" hidden="1">'[4]QRE Charts'!$D$222:$R$222</definedName>
    <definedName name="_36__123Graph_XCONTRACT_BY_B_U" hidden="1">'[5]QRE Charts'!$D$222:$R$222</definedName>
    <definedName name="_36__123Graph_XSUPPLIES_BY_B_U" hidden="1">'[4]QRE Charts'!$D$222:$R$222</definedName>
    <definedName name="_37__123Graph_XQRE_S_BY_CO." hidden="1">'[5]QRE Charts'!$D$222:$R$222</definedName>
    <definedName name="_37__123Graph_XTAX_CREDIT" hidden="1">'[4]QRE Charts'!$C$332:$C$342</definedName>
    <definedName name="_38__123Graph_XQRE_S_BY_TYPE" hidden="1">'[5]QRE Charts'!$D$222:$R$222</definedName>
    <definedName name="_39__123Graph_XSUPPLIES_BY_B_U" hidden="1">'[5]QRE Charts'!$D$222:$R$222</definedName>
    <definedName name="_4__123Graph_ACONTRACT_BY_B_U" hidden="1">'[5]QRE Charts'!$D$275:$Q$275</definedName>
    <definedName name="_4__123Graph_ASENS_COMPARISON" hidden="1">'[4]QRE Charts'!$E$365:$O$365</definedName>
    <definedName name="_4__123Graph_BCHART_2" hidden="1">'[3]Net Cash Table'!$I$11:$I$39</definedName>
    <definedName name="_40__123Graph_XTAX_CREDIT" hidden="1">'[5]QRE Charts'!$C$332:$C$342</definedName>
    <definedName name="_5__123Graph_AQRE_S_BY_CO." hidden="1">'[5]QRE Charts'!$D$301:$R$301</definedName>
    <definedName name="_5__123Graph_ASUPPLIES_BY_B_U" hidden="1">'[4]QRE Charts'!$D$249:$Q$249</definedName>
    <definedName name="_5__123Graph_CCHART_1" hidden="1">'[3]Cash Out Table'!$E$11:$E$39</definedName>
    <definedName name="_6__123Graph_AQRE_S_BY_TYPE" hidden="1">'[5]QRE''s'!$D$99:$R$99</definedName>
    <definedName name="_6__123Graph_ATAX_CREDIT" hidden="1">'[4]QRE Charts'!$D$332:$D$342</definedName>
    <definedName name="_6__123Graph_CCHART_2" hidden="1">'[3]Net Cash Table'!$L$11:$L$39</definedName>
    <definedName name="_7__123Graph_ASENS_COMPARISON" hidden="1">'[5]QRE Charts'!$E$365:$O$365</definedName>
    <definedName name="_7__123Graph_AWAGES_BY_B_U" hidden="1">'[4]QRE Charts'!$D$223:$R$223</definedName>
    <definedName name="_7__123Graph_XCHART_2" hidden="1">'[6]Progress Tables'!$U$14:$U$46</definedName>
    <definedName name="_8__123Graph_ASUPPLIES_BY_B_U" hidden="1">'[5]QRE Charts'!$D$249:$Q$249</definedName>
    <definedName name="_8__123Graph_BCONTRACT_BY_B_U" hidden="1">'[4]QRE Charts'!$D$276:$Q$276</definedName>
    <definedName name="_9__123Graph_ATAX_CREDIT" hidden="1">'[5]QRE Charts'!$D$332:$D$342</definedName>
    <definedName name="_9__123Graph_BQRE_S_BY_CO." hidden="1">'[4]QRE Charts'!$D$302:$R$302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ccess_Button" hidden="1">"X1998_Columbia_Budgets_98_Budget_by_FERC_List"</definedName>
    <definedName name="AccessDatabase" hidden="1">"C:\Mydocs\1998 Columbia Budgets.mdb"</definedName>
    <definedName name="aging" hidden="1">{#N/A,#N/A,FALSE,"Aging Summary";#N/A,#N/A,FALSE,"Ratio Analysis";#N/A,#N/A,FALSE,"Test 120 Day Accts";#N/A,#N/A,FALSE,"Tickmarks"}</definedName>
    <definedName name="AS2DocOpenMode" hidden="1">"AS2DocumentEdit"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'[7]10.08.5 - 2008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'[7]10.08.3 - 2008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'[7]10.08.5 - 2008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'[7]10.08.5 - 2008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'[7]10.08.2 - 2008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'[7]10.08.3 - 2008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'[7]10.08.4 -2008 Capital'!#REF!</definedName>
    <definedName name="BEx1U15M7LVVFZENH830B2BGWC04" hidden="1">#REF!</definedName>
    <definedName name="BEx1U5NGVTXGL4CIPVT5O034KGGR" hidden="1">'[7]10.08.3 - 2008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'[7]10.08.5 - 2008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'[7]10.08.5 - 2008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[8]Table!#REF!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'[7]10.08.5 - 2008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'[7]10.08.5 - 2008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'[7]10.08.3 - 2008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[8]Table!#REF!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'[7]10.08.5 - 2008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'[7]10.08.4 -2008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'[7]10.08.5 - 2008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'[7]10.08.5 - 2008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'[7]10.08.4 -2008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'[7]10.08.5 - 2008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'[7]10.08.3 - 2008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'[7]10.08.2 - 2008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'[7]10.08.3 - 2008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'[7]10.08.5 - 2008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'[7]10.08.5 - 2008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'[7]10.08.5 - 2008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'[7]10.08.2 - 2008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'[7]10.08.5 - 2008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'[7]10.08.2 - 2008 Expense'!#REF!</definedName>
    <definedName name="BExCUW1QXVMEP3B9SFPNEEWCG9I0" hidden="1">'[7]10.08.5 - 2008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'[7]10.08.4 -2008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'[7]10.08.2 - 2008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'[7]10.08.3 - 2008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[8]Table!#REF!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'[7]10.08.4 -2008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'[7]10.08.4 -2008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'[7]10.08.2 - 2008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'[7]10.08.5 - 2008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'[7]10.08.4 -2008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'[7]10.08.5 - 2008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'[7]10.08.4 -2008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'[7]10.08.4 -2008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'[7]10.08.2 - 2008 Expense'!#REF!</definedName>
    <definedName name="BExIM2RXHXBO63HBPUTHF775IIRY" hidden="1">#REF!</definedName>
    <definedName name="BExIM2RXYS5BGYBDMFLU1RE8039Z" hidden="1">#REF!</definedName>
    <definedName name="BExIM2X90EG7J3TG4STQ3J1OK4O0" hidden="1">'[7]10.08.5 - 2008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'[7]10.08.5 - 2008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'[7]10.08.5 - 2008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'[7]10.08.2 - 2008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'[7]10.08.4 -2008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'[7]10.08.4 -2008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'[7]10.08.5 - 2008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[8]Table!#REF!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'[7]10.08.5 - 2008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'[7]10.08.5 - 2008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'[7]10.08.5 - 2008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'[7]10.08.3 - 2008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'[7]10.08.2 - 2008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'[7]10.08.5 - 2008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[8]Table!#REF!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'[7]10.08.2 - 2008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'[7]10.08.5 - 2008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'[7]10.08.3 - 2008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'[7]10.08.2 - 2008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'[7]10.08.2 - 2008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[8]Table!#REF!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'[7]10.08.4 -2008 Capital'!#REF!</definedName>
    <definedName name="BExTYLUCLWGGQOEPH6W91DIYL3RQ" hidden="1">#REF!</definedName>
    <definedName name="BExTYOZQGNRDMMFZOG8515WQDGU3" hidden="1">'[7]10.08.5 - 2008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'[7]10.08.2 - 2008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'[7]10.08.5 - 2008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'[7]10.08.5 - 2008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'[7]10.08.5 - 2008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'[7]10.08.3 - 2008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'[7]10.08.2 - 2008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'[7]10.08.5 - 2008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'[7]10.08.3 - 2008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'[7]10.08.5 - 2008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'[7]10.08.2 - 2008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'[7]10.08.3 - 2008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'[7]10.08.5 - 2008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'[7]10.08.5 - 2008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'[7]10.08.5 - 2008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k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bktest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bob" hidden="1">{"assumptions",#N/A,FALSE,"Scenario 1";"valuation",#N/A,FALSE,"Scenario 1"}</definedName>
    <definedName name="EntityComboCacheDate" hidden="1">39099</definedName>
    <definedName name="EntityComboCacheTestDate" hidden="1">39099</definedName>
    <definedName name="HTML_CodePage" hidden="1">1252</definedName>
    <definedName name="HTML_Control" hidden="1">{"'4.0 Financial'!$A$1:$M$79"}</definedName>
    <definedName name="HTML_Description" hidden="1">"Here is where the Description is below the header"</definedName>
    <definedName name="HTML_Email" hidden="1">"heroldsc@bv.com"</definedName>
    <definedName name="HTML_Header" hidden="1">"4.0 Financial"</definedName>
    <definedName name="HTML_LastUpdate" hidden="1">"01/23/2001"</definedName>
    <definedName name="HTML_LineAfter" hidden="1">TRUE</definedName>
    <definedName name="HTML_LineBefore" hidden="1">TRUE</definedName>
    <definedName name="HTML_Name" hidden="1">"Black &amp; Veatch"</definedName>
    <definedName name="HTML_OBDlg2" hidden="1">TRUE</definedName>
    <definedName name="HTML_OBDlg4" hidden="1">TRUE</definedName>
    <definedName name="HTML_OS" hidden="1">0</definedName>
    <definedName name="HTML_PathFile" hidden="1">"C:\Bv-users\MyHTML.htm"</definedName>
    <definedName name="HTML_Title" hidden="1">"NewReportFormatsIssued"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39336.6405324074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g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katz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m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Meghan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_xlnm.Print_Area" localSheetId="0">'Sch. A - Summary'!$B$2:$G$29</definedName>
    <definedName name="_xlnm.Print_Area" localSheetId="1">'Sch. B - Rate Base'!$A$2:$H$86</definedName>
    <definedName name="_xlnm.Print_Area" localSheetId="2">'Sch. C - Cost of Service'!$A$2:$G$75</definedName>
    <definedName name="Publishing" hidden="1">{#N/A,#N/A,FALSE,"Aging Summary";#N/A,#N/A,FALSE,"Ratio Analysis";#N/A,#N/A,FALSE,"Test 120 Day Accts";#N/A,#N/A,FALSE,"Tickmarks"}</definedName>
    <definedName name="SAPBEXhrIndnt" hidden="1">"Wide"</definedName>
    <definedName name="SAPsysID" hidden="1">"708C5W7SBKP804JT78WJ0JNKI"</definedName>
    <definedName name="SAPwbID" hidden="1">"ARS"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4" hidden="1">{"assumptions",#N/A,FALSE,"Scenario 1";"valuation",#N/A,FALSE,"Scenario 1"}</definedName>
    <definedName name="test6" hidden="1">{"LBO Summary",#N/A,FALSE,"Summary"}</definedName>
    <definedName name="testbk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xtRefCopyRangeCount" hidden="1">1</definedName>
    <definedName name="Value" hidden="1">{"assumptions",#N/A,FALSE,"Scenario 1";"valuation",#N/A,FALSE,"Scenario 1"}</definedName>
    <definedName name="wrn.Aging._.and._.Trend._.Analysis." hidden="1">{#N/A,#N/A,FALSE,"Aging Summary";#N/A,#N/A,FALSE,"Ratio Analysis";#N/A,#N/A,FALSE,"Test 120 Day Accts";#N/A,#N/A,FALSE,"Tickmarks"}</definedName>
    <definedName name="wrn.cotop." hidden="1">{"ReportTop",#N/A,FALSE,"report top"}</definedName>
    <definedName name="wrn.EAC." hidden="1">{"coal",#N/A,FALSE,"A";"oil",#N/A,FALSE,"U"}</definedName>
    <definedName name="wrn.IPO._.Valuation." hidden="1">{"assumptions",#N/A,FALSE,"Scenario 1";"valuation",#N/A,FALSE,"Scenario 1"}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LBO._.Summary." hidden="1">{"LBO Summary",#N/A,FALSE,"Summary"}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</definedNames>
  <calcPr calcId="191028" iterate="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0" l="1"/>
  <c r="I23" i="10"/>
  <c r="O13" i="1" l="1"/>
  <c r="N13" i="1"/>
  <c r="M13" i="1"/>
  <c r="L13" i="1"/>
  <c r="K13" i="1"/>
  <c r="P13" i="1"/>
  <c r="H12" i="9" l="1"/>
  <c r="I12" i="9"/>
  <c r="J12" i="9"/>
  <c r="G12" i="9"/>
  <c r="K12" i="9"/>
  <c r="J21" i="5"/>
  <c r="I14" i="10" l="1"/>
  <c r="J15" i="5" s="1"/>
  <c r="I19" i="10"/>
  <c r="I21" i="10"/>
  <c r="J14" i="5"/>
  <c r="F57" i="3"/>
  <c r="G57" i="3" s="1"/>
  <c r="F56" i="3"/>
  <c r="G56" i="3" s="1"/>
  <c r="F55" i="3"/>
  <c r="G55" i="3" s="1"/>
  <c r="F54" i="3"/>
  <c r="G54" i="3" s="1"/>
  <c r="F53" i="3"/>
  <c r="G53" i="3" s="1"/>
  <c r="F29" i="3" l="1"/>
  <c r="G29" i="3" s="1"/>
  <c r="I63" i="1"/>
  <c r="F27" i="3" l="1"/>
  <c r="G27" i="3" s="1"/>
  <c r="F28" i="3"/>
  <c r="G28" i="3" s="1"/>
  <c r="F26" i="3"/>
  <c r="F30" i="3"/>
  <c r="G30" i="3" s="1"/>
  <c r="E32" i="3"/>
  <c r="H32" i="3"/>
  <c r="G26" i="3" l="1"/>
  <c r="G32" i="3" s="1"/>
  <c r="F32" i="3"/>
  <c r="J46" i="1"/>
  <c r="J11" i="1"/>
  <c r="J10" i="1"/>
  <c r="J9" i="1"/>
  <c r="J8" i="1"/>
  <c r="I55" i="1"/>
  <c r="I57" i="3"/>
  <c r="J57" i="3" s="1"/>
  <c r="I56" i="3"/>
  <c r="J56" i="3" s="1"/>
  <c r="I55" i="3"/>
  <c r="J55" i="3" s="1"/>
  <c r="I54" i="3"/>
  <c r="J54" i="3" s="1"/>
  <c r="I53" i="3"/>
  <c r="J53" i="3" s="1"/>
  <c r="I30" i="3"/>
  <c r="J30" i="3" s="1"/>
  <c r="I29" i="3"/>
  <c r="J29" i="3" s="1"/>
  <c r="I28" i="3"/>
  <c r="J28" i="3" s="1"/>
  <c r="I27" i="3"/>
  <c r="J27" i="3" s="1"/>
  <c r="I26" i="3"/>
  <c r="J26" i="3" l="1"/>
  <c r="J32" i="3" s="1"/>
  <c r="I32" i="3"/>
  <c r="K58" i="3"/>
  <c r="J28" i="1" l="1"/>
  <c r="I21" i="5" l="1"/>
  <c r="H14" i="10"/>
  <c r="H19" i="10" l="1"/>
  <c r="H24" i="10"/>
  <c r="I15" i="5" s="1"/>
  <c r="H23" i="10" l="1"/>
  <c r="I14" i="5" s="1"/>
  <c r="H21" i="10"/>
  <c r="I46" i="1" l="1"/>
  <c r="J58" i="3" l="1"/>
  <c r="I28" i="1" l="1"/>
  <c r="I11" i="1" l="1"/>
  <c r="I10" i="1"/>
  <c r="I9" i="1"/>
  <c r="I8" i="1"/>
  <c r="I13" i="1" l="1"/>
  <c r="I16" i="1" s="1"/>
  <c r="J62" i="3" s="1"/>
  <c r="J75" i="3" s="1"/>
  <c r="H46" i="1"/>
  <c r="H21" i="5"/>
  <c r="G19" i="10" l="1"/>
  <c r="G14" i="10"/>
  <c r="G24" i="10" s="1"/>
  <c r="H15" i="5" s="1"/>
  <c r="I75" i="3"/>
  <c r="H11" i="1"/>
  <c r="H10" i="1"/>
  <c r="H9" i="1"/>
  <c r="H8" i="1"/>
  <c r="G21" i="10" l="1"/>
  <c r="G23" i="10"/>
  <c r="H14" i="5" s="1"/>
  <c r="I58" i="3" l="1"/>
  <c r="I49" i="3" l="1"/>
  <c r="I50" i="3" l="1"/>
  <c r="H38" i="1"/>
  <c r="H30" i="1"/>
  <c r="I23" i="3" l="1"/>
  <c r="I42" i="3" l="1"/>
  <c r="I14" i="3" l="1"/>
  <c r="P63" i="1" l="1"/>
  <c r="O63" i="1"/>
  <c r="N63" i="1"/>
  <c r="M63" i="1"/>
  <c r="L63" i="1"/>
  <c r="K63" i="1"/>
  <c r="F63" i="1"/>
  <c r="E63" i="1"/>
  <c r="P55" i="1"/>
  <c r="O55" i="1"/>
  <c r="N55" i="1"/>
  <c r="M55" i="1"/>
  <c r="L55" i="1"/>
  <c r="K55" i="1"/>
  <c r="F55" i="1"/>
  <c r="E55" i="1"/>
  <c r="G38" i="1"/>
  <c r="G30" i="1"/>
  <c r="B11" i="10" l="1"/>
  <c r="B12" i="10" s="1"/>
  <c r="B13" i="10" s="1"/>
  <c r="B14" i="10" s="1"/>
  <c r="B16" i="10" s="1"/>
  <c r="B17" i="10" s="1"/>
  <c r="B18" i="10" s="1"/>
  <c r="B19" i="10" s="1"/>
  <c r="B21" i="10" s="1"/>
  <c r="B23" i="10" s="1"/>
  <c r="B24" i="10" s="1"/>
  <c r="E19" i="10"/>
  <c r="E14" i="10" l="1"/>
  <c r="E21" i="10" l="1"/>
  <c r="E24" i="10"/>
  <c r="F15" i="5" s="1"/>
  <c r="E23" i="10"/>
  <c r="F14" i="5" s="1"/>
  <c r="F14" i="10" l="1"/>
  <c r="F24" i="10" l="1"/>
  <c r="G15" i="5" s="1"/>
  <c r="F23" i="10"/>
  <c r="G14" i="5" s="1"/>
  <c r="J16" i="5" s="1"/>
  <c r="F19" i="10" l="1"/>
  <c r="F21" i="10" s="1"/>
  <c r="F78" i="3" l="1"/>
  <c r="E78" i="3"/>
  <c r="F73" i="3"/>
  <c r="E73" i="3"/>
  <c r="F68" i="3"/>
  <c r="E68" i="3"/>
  <c r="G21" i="5"/>
  <c r="F21" i="5"/>
  <c r="L58" i="3"/>
  <c r="M58" i="3"/>
  <c r="N58" i="3"/>
  <c r="O58" i="3"/>
  <c r="P58" i="3"/>
  <c r="Q58" i="3"/>
  <c r="J50" i="3"/>
  <c r="K50" i="3"/>
  <c r="L50" i="3"/>
  <c r="M50" i="3"/>
  <c r="N50" i="3"/>
  <c r="O50" i="3"/>
  <c r="P50" i="3"/>
  <c r="Q50" i="3"/>
  <c r="I60" i="3"/>
  <c r="J42" i="3"/>
  <c r="K42" i="3"/>
  <c r="L42" i="3"/>
  <c r="L60" i="3" s="1"/>
  <c r="M42" i="3"/>
  <c r="M60" i="3" s="1"/>
  <c r="N42" i="3"/>
  <c r="N60" i="3" s="1"/>
  <c r="O42" i="3"/>
  <c r="O60" i="3" s="1"/>
  <c r="P42" i="3"/>
  <c r="P60" i="3" s="1"/>
  <c r="Q42" i="3"/>
  <c r="Q60" i="3" s="1"/>
  <c r="K32" i="3"/>
  <c r="L32" i="3"/>
  <c r="M32" i="3"/>
  <c r="N32" i="3"/>
  <c r="O32" i="3"/>
  <c r="P32" i="3"/>
  <c r="Q32" i="3"/>
  <c r="J23" i="3"/>
  <c r="K23" i="3"/>
  <c r="L23" i="3"/>
  <c r="M23" i="3"/>
  <c r="N23" i="3"/>
  <c r="O23" i="3"/>
  <c r="P23" i="3"/>
  <c r="Q23" i="3"/>
  <c r="I22" i="5" l="1"/>
  <c r="J22" i="5"/>
  <c r="K60" i="3"/>
  <c r="J60" i="3"/>
  <c r="H22" i="5"/>
  <c r="G22" i="5"/>
  <c r="E22" i="5"/>
  <c r="F22" i="5" l="1"/>
  <c r="H75" i="3" l="1"/>
  <c r="G75" i="3"/>
  <c r="P11" i="5"/>
  <c r="O11" i="5"/>
  <c r="N11" i="5"/>
  <c r="M11" i="5"/>
  <c r="M18" i="5" s="1"/>
  <c r="L11" i="5"/>
  <c r="K11" i="5"/>
  <c r="E11" i="5"/>
  <c r="B10" i="5"/>
  <c r="B11" i="5" s="1"/>
  <c r="B14" i="5" s="1"/>
  <c r="B15" i="5" s="1"/>
  <c r="F80" i="3"/>
  <c r="E80" i="3"/>
  <c r="N18" i="5" l="1"/>
  <c r="E18" i="5"/>
  <c r="K18" i="5"/>
  <c r="O18" i="5"/>
  <c r="L18" i="5"/>
  <c r="P18" i="5"/>
  <c r="B16" i="5"/>
  <c r="B18" i="5" s="1"/>
  <c r="B21" i="5" s="1"/>
  <c r="B22" i="5" s="1"/>
  <c r="D10" i="4" l="1"/>
  <c r="E10" i="4" s="1"/>
  <c r="F10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G77" i="3" l="1"/>
  <c r="G78" i="3" s="1"/>
  <c r="G72" i="3"/>
  <c r="G67" i="3"/>
  <c r="B25" i="5"/>
  <c r="B26" i="5" s="1"/>
  <c r="D11" i="4"/>
  <c r="E11" i="4" s="1"/>
  <c r="F11" i="4" s="1"/>
  <c r="H72" i="3" l="1"/>
  <c r="H77" i="3"/>
  <c r="H78" i="3" s="1"/>
  <c r="H67" i="3"/>
  <c r="D12" i="4"/>
  <c r="E12" i="4" l="1"/>
  <c r="F12" i="4" s="1"/>
  <c r="I72" i="3"/>
  <c r="I77" i="3"/>
  <c r="I78" i="3" s="1"/>
  <c r="I67" i="3"/>
  <c r="D13" i="4"/>
  <c r="E13" i="4" s="1"/>
  <c r="F13" i="4" s="1"/>
  <c r="J77" i="3" l="1"/>
  <c r="J78" i="3" s="1"/>
  <c r="J67" i="3"/>
  <c r="J72" i="3"/>
  <c r="D14" i="4"/>
  <c r="E14" i="4" s="1"/>
  <c r="F14" i="4" s="1"/>
  <c r="K67" i="3" l="1"/>
  <c r="K72" i="3"/>
  <c r="K77" i="3"/>
  <c r="D15" i="4"/>
  <c r="E15" i="4" s="1"/>
  <c r="F15" i="4" s="1"/>
  <c r="L67" i="3" l="1"/>
  <c r="L68" i="3" s="1"/>
  <c r="L77" i="3"/>
  <c r="L78" i="3" s="1"/>
  <c r="L72" i="3"/>
  <c r="L73" i="3" s="1"/>
  <c r="D16" i="4"/>
  <c r="E16" i="4" s="1"/>
  <c r="F16" i="4" s="1"/>
  <c r="M72" i="3" l="1"/>
  <c r="M73" i="3" s="1"/>
  <c r="M77" i="3"/>
  <c r="M78" i="3" s="1"/>
  <c r="M67" i="3"/>
  <c r="M68" i="3" s="1"/>
  <c r="L80" i="3"/>
  <c r="D17" i="4"/>
  <c r="E17" i="4" s="1"/>
  <c r="F17" i="4" s="1"/>
  <c r="M80" i="3" l="1"/>
  <c r="N77" i="3"/>
  <c r="N78" i="3" s="1"/>
  <c r="N72" i="3"/>
  <c r="N73" i="3" s="1"/>
  <c r="N67" i="3"/>
  <c r="N68" i="3" s="1"/>
  <c r="N80" i="3" s="1"/>
  <c r="D18" i="4"/>
  <c r="E18" i="4" s="1"/>
  <c r="F18" i="4" s="1"/>
  <c r="O72" i="3" l="1"/>
  <c r="O73" i="3" s="1"/>
  <c r="O67" i="3"/>
  <c r="O68" i="3" s="1"/>
  <c r="O77" i="3"/>
  <c r="O78" i="3" s="1"/>
  <c r="D19" i="4"/>
  <c r="E19" i="4" s="1"/>
  <c r="F19" i="4" s="1"/>
  <c r="P67" i="3" l="1"/>
  <c r="P68" i="3" s="1"/>
  <c r="P77" i="3"/>
  <c r="P78" i="3" s="1"/>
  <c r="P72" i="3"/>
  <c r="P73" i="3" s="1"/>
  <c r="O80" i="3"/>
  <c r="D20" i="4"/>
  <c r="E20" i="4" s="1"/>
  <c r="F20" i="4" s="1"/>
  <c r="Q77" i="3" l="1"/>
  <c r="Q78" i="3" s="1"/>
  <c r="Q72" i="3"/>
  <c r="Q73" i="3" s="1"/>
  <c r="Q67" i="3"/>
  <c r="Q68" i="3" s="1"/>
  <c r="Q80" i="3" s="1"/>
  <c r="P80" i="3"/>
  <c r="P46" i="1"/>
  <c r="O46" i="1"/>
  <c r="N46" i="1"/>
  <c r="M46" i="1"/>
  <c r="L46" i="1"/>
  <c r="K46" i="1"/>
  <c r="P38" i="1"/>
  <c r="O38" i="1"/>
  <c r="N38" i="1"/>
  <c r="M38" i="1"/>
  <c r="L38" i="1"/>
  <c r="K38" i="1"/>
  <c r="J38" i="1"/>
  <c r="I38" i="1"/>
  <c r="P30" i="1"/>
  <c r="O30" i="1"/>
  <c r="N30" i="1"/>
  <c r="M30" i="1"/>
  <c r="L30" i="1"/>
  <c r="K30" i="1"/>
  <c r="J30" i="1"/>
  <c r="I30" i="1"/>
  <c r="N16" i="1"/>
  <c r="N19" i="1" s="1"/>
  <c r="N65" i="1" s="1"/>
  <c r="J13" i="1"/>
  <c r="J16" i="1" s="1"/>
  <c r="O16" i="1"/>
  <c r="O19" i="1" s="1"/>
  <c r="K16" i="1"/>
  <c r="K19" i="1" s="1"/>
  <c r="P16" i="1"/>
  <c r="P19" i="1" s="1"/>
  <c r="L16" i="1"/>
  <c r="L19" i="1" s="1"/>
  <c r="H13" i="1"/>
  <c r="H16" i="1" s="1"/>
  <c r="M16" i="1"/>
  <c r="M19" i="1" s="1"/>
  <c r="O65" i="1" l="1"/>
  <c r="K62" i="3"/>
  <c r="K75" i="3" s="1"/>
  <c r="K78" i="3" s="1"/>
  <c r="L65" i="1"/>
  <c r="P65" i="1"/>
  <c r="M65" i="1"/>
  <c r="K65" i="1"/>
  <c r="G46" i="1" l="1"/>
  <c r="F35" i="1" l="1"/>
  <c r="F34" i="1"/>
  <c r="F33" i="1"/>
  <c r="F38" i="1" s="1"/>
  <c r="E38" i="1"/>
  <c r="F27" i="1"/>
  <c r="F26" i="1"/>
  <c r="F25" i="1"/>
  <c r="F24" i="1"/>
  <c r="F30" i="1" s="1"/>
  <c r="F21" i="1" l="1"/>
  <c r="G9" i="1" l="1"/>
  <c r="G10" i="1"/>
  <c r="G8" i="1"/>
  <c r="G13" i="1" s="1"/>
  <c r="G16" i="1" s="1"/>
  <c r="F9" i="1"/>
  <c r="F10" i="1"/>
  <c r="F8" i="1"/>
  <c r="E13" i="1"/>
  <c r="E16" i="1" s="1"/>
  <c r="E19" i="1" s="1"/>
  <c r="F13" i="1" l="1"/>
  <c r="F16" i="1" s="1"/>
  <c r="F46" i="1" l="1"/>
  <c r="E46" i="1"/>
  <c r="E30" i="1"/>
  <c r="B9" i="1"/>
  <c r="H23" i="3"/>
  <c r="G23" i="3"/>
  <c r="F23" i="3"/>
  <c r="E23" i="3"/>
  <c r="I34" i="3"/>
  <c r="J14" i="3"/>
  <c r="J34" i="3" s="1"/>
  <c r="K14" i="3"/>
  <c r="K34" i="3" s="1"/>
  <c r="L14" i="3"/>
  <c r="L34" i="3" s="1"/>
  <c r="M14" i="3"/>
  <c r="M34" i="3" s="1"/>
  <c r="N14" i="3"/>
  <c r="N34" i="3" s="1"/>
  <c r="O14" i="3"/>
  <c r="O34" i="3" s="1"/>
  <c r="P14" i="3"/>
  <c r="P34" i="3" s="1"/>
  <c r="Q14" i="3"/>
  <c r="Q34" i="3" s="1"/>
  <c r="H14" i="3"/>
  <c r="G14" i="3"/>
  <c r="F14" i="3"/>
  <c r="E65" i="1" l="1"/>
  <c r="E58" i="3"/>
  <c r="B10" i="1"/>
  <c r="B11" i="1" s="1"/>
  <c r="B12" i="1" s="1"/>
  <c r="B13" i="1" s="1"/>
  <c r="B15" i="1" s="1"/>
  <c r="F58" i="3"/>
  <c r="G58" i="3"/>
  <c r="H58" i="3"/>
  <c r="E66" i="1" l="1"/>
  <c r="B16" i="1"/>
  <c r="B17" i="1" s="1"/>
  <c r="B18" i="1" s="1"/>
  <c r="B19" i="1" s="1"/>
  <c r="B21" i="1" s="1"/>
  <c r="B24" i="1" s="1"/>
  <c r="B25" i="1" s="1"/>
  <c r="B26" i="1" s="1"/>
  <c r="B27" i="1" s="1"/>
  <c r="B28" i="1" s="1"/>
  <c r="B29" i="1" s="1"/>
  <c r="B30" i="1" s="1"/>
  <c r="B33" i="1" s="1"/>
  <c r="B34" i="1" s="1"/>
  <c r="B35" i="1" s="1"/>
  <c r="E14" i="3"/>
  <c r="B36" i="1" l="1"/>
  <c r="B37" i="1" s="1"/>
  <c r="B38" i="1" s="1"/>
  <c r="B41" i="1" s="1"/>
  <c r="B42" i="1" s="1"/>
  <c r="B43" i="1" s="1"/>
  <c r="B44" i="1" s="1"/>
  <c r="B45" i="1" s="1"/>
  <c r="B46" i="1" s="1"/>
  <c r="B49" i="1" s="1"/>
  <c r="B50" i="1" s="1"/>
  <c r="B51" i="1" s="1"/>
  <c r="B52" i="1" s="1"/>
  <c r="B53" i="1" s="1"/>
  <c r="B54" i="1" s="1"/>
  <c r="B55" i="1" s="1"/>
  <c r="H34" i="3"/>
  <c r="F34" i="3"/>
  <c r="E34" i="3"/>
  <c r="G34" i="3"/>
  <c r="K65" i="3" l="1"/>
  <c r="K68" i="3" s="1"/>
  <c r="I65" i="3"/>
  <c r="I68" i="3" s="1"/>
  <c r="H65" i="3"/>
  <c r="H68" i="3" s="1"/>
  <c r="J65" i="3"/>
  <c r="J68" i="3" s="1"/>
  <c r="G65" i="3"/>
  <c r="G68" i="3" s="1"/>
  <c r="B58" i="1"/>
  <c r="B59" i="1" s="1"/>
  <c r="B60" i="1" s="1"/>
  <c r="B61" i="1" s="1"/>
  <c r="B62" i="1" s="1"/>
  <c r="B63" i="1" s="1"/>
  <c r="B65" i="1" s="1"/>
  <c r="B66" i="1" s="1"/>
  <c r="H50" i="3"/>
  <c r="G50" i="3" l="1"/>
  <c r="F50" i="3"/>
  <c r="E50" i="3"/>
  <c r="H42" i="3"/>
  <c r="H60" i="3" s="1"/>
  <c r="B9" i="3"/>
  <c r="B10" i="3" s="1"/>
  <c r="B11" i="3" s="1"/>
  <c r="B12" i="3" s="1"/>
  <c r="B13" i="3" l="1"/>
  <c r="B14" i="3" s="1"/>
  <c r="B17" i="3" s="1"/>
  <c r="B18" i="3" s="1"/>
  <c r="B19" i="3" s="1"/>
  <c r="B20" i="3" s="1"/>
  <c r="B21" i="3" s="1"/>
  <c r="B22" i="3" s="1"/>
  <c r="B23" i="3" s="1"/>
  <c r="B26" i="3" s="1"/>
  <c r="B27" i="3" s="1"/>
  <c r="B28" i="3" s="1"/>
  <c r="B29" i="3" s="1"/>
  <c r="B30" i="3" s="1"/>
  <c r="B31" i="3" s="1"/>
  <c r="B32" i="3" s="1"/>
  <c r="B34" i="3" s="1"/>
  <c r="B37" i="3" s="1"/>
  <c r="B38" i="3" s="1"/>
  <c r="B39" i="3" s="1"/>
  <c r="B40" i="3" s="1"/>
  <c r="B41" i="3" s="1"/>
  <c r="B42" i="3" s="1"/>
  <c r="B45" i="3" s="1"/>
  <c r="B46" i="3" s="1"/>
  <c r="B47" i="3" s="1"/>
  <c r="B48" i="3" s="1"/>
  <c r="B49" i="3" s="1"/>
  <c r="B50" i="3" s="1"/>
  <c r="B53" i="3" s="1"/>
  <c r="B54" i="3" s="1"/>
  <c r="G42" i="3"/>
  <c r="G60" i="3" s="1"/>
  <c r="F42" i="3"/>
  <c r="F60" i="3" s="1"/>
  <c r="E42" i="3"/>
  <c r="E60" i="3" s="1"/>
  <c r="K70" i="3" s="1"/>
  <c r="K73" i="3" s="1"/>
  <c r="K80" i="3" s="1"/>
  <c r="J9" i="5" s="1"/>
  <c r="J70" i="3" l="1"/>
  <c r="J73" i="3" s="1"/>
  <c r="J80" i="3" s="1"/>
  <c r="I9" i="5" s="1"/>
  <c r="I70" i="3"/>
  <c r="I73" i="3" s="1"/>
  <c r="I80" i="3" s="1"/>
  <c r="H9" i="5" s="1"/>
  <c r="H70" i="3"/>
  <c r="G70" i="3"/>
  <c r="G73" i="3" s="1"/>
  <c r="B55" i="3"/>
  <c r="B56" i="3" s="1"/>
  <c r="B57" i="3" s="1"/>
  <c r="B58" i="3" s="1"/>
  <c r="B60" i="3" s="1"/>
  <c r="B62" i="3" s="1"/>
  <c r="H73" i="3" l="1"/>
  <c r="H80" i="3" s="1"/>
  <c r="G9" i="5" s="1"/>
  <c r="G80" i="3"/>
  <c r="F9" i="5" s="1"/>
  <c r="B65" i="3"/>
  <c r="B66" i="3" s="1"/>
  <c r="B67" i="3" s="1"/>
  <c r="B68" i="3" s="1"/>
  <c r="B70" i="3" l="1"/>
  <c r="B71" i="3" s="1"/>
  <c r="B72" i="3" l="1"/>
  <c r="B73" i="3" s="1"/>
  <c r="B75" i="3"/>
  <c r="B76" i="3" s="1"/>
  <c r="B77" i="3" l="1"/>
  <c r="B78" i="3" s="1"/>
  <c r="B80" i="3"/>
  <c r="H55" i="1" l="1"/>
  <c r="H63" i="1"/>
  <c r="J55" i="1" l="1"/>
  <c r="J63" i="1"/>
  <c r="F10" i="5"/>
  <c r="G10" i="5"/>
  <c r="H10" i="5"/>
  <c r="I10" i="5"/>
  <c r="J10" i="5"/>
  <c r="F11" i="5"/>
  <c r="G11" i="5"/>
  <c r="H11" i="5"/>
  <c r="I11" i="5"/>
  <c r="J11" i="5"/>
  <c r="F18" i="5"/>
  <c r="G18" i="5"/>
  <c r="H18" i="5"/>
  <c r="I18" i="5"/>
  <c r="J18" i="5"/>
  <c r="J25" i="5"/>
  <c r="J26" i="5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G49" i="1"/>
  <c r="G50" i="1"/>
  <c r="G51" i="1"/>
  <c r="G52" i="1"/>
  <c r="G53" i="1"/>
  <c r="G55" i="1"/>
  <c r="G58" i="1"/>
  <c r="G59" i="1"/>
  <c r="G60" i="1"/>
  <c r="G61" i="1"/>
  <c r="G62" i="1"/>
  <c r="G63" i="1"/>
  <c r="F65" i="1"/>
  <c r="G65" i="1"/>
  <c r="H65" i="1"/>
  <c r="I65" i="1"/>
  <c r="J65" i="1"/>
  <c r="F66" i="1"/>
  <c r="G66" i="1"/>
  <c r="H66" i="1"/>
  <c r="I66" i="1"/>
  <c r="J66" i="1"/>
  <c r="K66" i="1"/>
  <c r="L66" i="1"/>
  <c r="M66" i="1"/>
  <c r="N66" i="1"/>
  <c r="O66" i="1"/>
  <c r="P66" i="1"/>
  <c r="D8" i="6"/>
  <c r="D9" i="6"/>
  <c r="D11" i="6"/>
  <c r="C13" i="6"/>
  <c r="D13" i="6"/>
  <c r="C14" i="6"/>
  <c r="C16" i="6"/>
  <c r="C18" i="6"/>
  <c r="C19" i="6"/>
  <c r="D19" i="6"/>
  <c r="D21" i="6"/>
  <c r="D28" i="6"/>
  <c r="D29" i="6"/>
  <c r="D31" i="6"/>
  <c r="C33" i="6"/>
  <c r="D33" i="6"/>
  <c r="C34" i="6"/>
  <c r="C36" i="6"/>
  <c r="C38" i="6"/>
  <c r="C39" i="6"/>
  <c r="D39" i="6"/>
</calcChain>
</file>

<file path=xl/sharedStrings.xml><?xml version="1.0" encoding="utf-8"?>
<sst xmlns="http://schemas.openxmlformats.org/spreadsheetml/2006/main" count="432" uniqueCount="209">
  <si>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</si>
  <si>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</si>
  <si>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</si>
  <si>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</si>
  <si>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</si>
  <si>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</si>
  <si>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</si>
  <si>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</si>
  <si>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</si>
  <si>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</si>
  <si>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</si>
  <si>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</si>
  <si>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Line</t>
  </si>
  <si>
    <t>Summary of Renewable Energy Rider</t>
  </si>
  <si>
    <t>No.</t>
  </si>
  <si>
    <t>Costs and Revenue</t>
  </si>
  <si>
    <t>Actual*</t>
  </si>
  <si>
    <t>Renewable Energy Rider Revenue Requirement:</t>
  </si>
  <si>
    <t>Return on Rate Base</t>
  </si>
  <si>
    <t>Sch. B</t>
  </si>
  <si>
    <t>Cost of Service Expense (Benefit)</t>
  </si>
  <si>
    <t>Sch. C</t>
  </si>
  <si>
    <t xml:space="preserve">  Cumulative RER Revenue Requirement</t>
  </si>
  <si>
    <t>Sum lines 1 &amp; 2</t>
  </si>
  <si>
    <t>IPL Iowa Retail Allocation:</t>
  </si>
  <si>
    <t>IPL Iowa Retail Sales (kWh)</t>
  </si>
  <si>
    <t>WP 1</t>
  </si>
  <si>
    <t>IPL Retail and Wholesale Sales (kWh)</t>
  </si>
  <si>
    <t xml:space="preserve">  IPL Iowa Retail Allocation Factor</t>
  </si>
  <si>
    <t>YTD Avg. of lines 4 &amp; 5</t>
  </si>
  <si>
    <t>IPL Retail RER Revenue Requirement</t>
  </si>
  <si>
    <t>Line 3 * 6</t>
  </si>
  <si>
    <t>IPL Retail Revenue Collected:</t>
  </si>
  <si>
    <t>RER Revenue</t>
  </si>
  <si>
    <t>WP 2</t>
  </si>
  <si>
    <t xml:space="preserve">  Cumulative RER Revenue</t>
  </si>
  <si>
    <t>Sum of line 8</t>
  </si>
  <si>
    <t>Renewable Energy Rider Over/(Under) Collection:</t>
  </si>
  <si>
    <t>Cumulative Retail Over/(Under) Collection</t>
  </si>
  <si>
    <t>Line 9 minus 7</t>
  </si>
  <si>
    <t>Incremental Retail Over/(Under) Collection</t>
  </si>
  <si>
    <t>Notes:</t>
  </si>
  <si>
    <t xml:space="preserve">  * February 2020 and 1st quarter information has been prorated to account for RER rate implementation, which occurred on February 26, 2020 </t>
  </si>
  <si>
    <t xml:space="preserve">  Line 10, column (d):  1st Quarterly Information Report, filed May 28, 2020</t>
  </si>
  <si>
    <t>(m)</t>
  </si>
  <si>
    <t>Rate Base Items</t>
  </si>
  <si>
    <t>Wind Utility Plant in Service (UPIS):</t>
  </si>
  <si>
    <t>Upland Prairie</t>
  </si>
  <si>
    <t>Note [1]</t>
  </si>
  <si>
    <t>English Farms</t>
  </si>
  <si>
    <t>Whispering Willow North</t>
  </si>
  <si>
    <t>Golden Plains</t>
  </si>
  <si>
    <t>Richland</t>
  </si>
  <si>
    <t>Operations Centers (Wind Allocated)</t>
  </si>
  <si>
    <t xml:space="preserve">  Total Wind UPIS</t>
  </si>
  <si>
    <t>Sum lines 1 - 6</t>
  </si>
  <si>
    <t>Wind Accumulated Depreciation (AD):</t>
  </si>
  <si>
    <t xml:space="preserve">  Total Wind AD</t>
  </si>
  <si>
    <t>Sum lines 8 - 13</t>
  </si>
  <si>
    <t>Wind Accumulated Deferred Income Taxes (ADIT):</t>
  </si>
  <si>
    <t xml:space="preserve">  Total Wind ADIT</t>
  </si>
  <si>
    <t>Sum lines 15 - 20</t>
  </si>
  <si>
    <t>Wind Rate Base</t>
  </si>
  <si>
    <t>Sum lines 7, 14, 21</t>
  </si>
  <si>
    <t>Transmission Utility Plant in Service (UPIS):</t>
  </si>
  <si>
    <t xml:space="preserve">  Total Transmission UPIS</t>
  </si>
  <si>
    <t>Sum lines 23 - 27</t>
  </si>
  <si>
    <t>Transmission Accumulated Depreciation (AD):</t>
  </si>
  <si>
    <t xml:space="preserve">  Total Transmission AD</t>
  </si>
  <si>
    <t>Sum lines 29 - 33</t>
  </si>
  <si>
    <t>Transmission Accumulated Deferred Income Taxes (ADIT):</t>
  </si>
  <si>
    <t xml:space="preserve">  Total Transmission ADIT</t>
  </si>
  <si>
    <t>Sum lines 35 - 39</t>
  </si>
  <si>
    <t>Transmission Rate Base</t>
  </si>
  <si>
    <t>Sum lines 28, 34, 40</t>
  </si>
  <si>
    <t>PTC Carryforward Rate Base</t>
  </si>
  <si>
    <t>Note [2]</t>
  </si>
  <si>
    <t>Return on Rate Base:</t>
  </si>
  <si>
    <t>Wind Average Rate Base</t>
  </si>
  <si>
    <t>YTD Average</t>
  </si>
  <si>
    <t>Wind Pre-tax Rate of Return</t>
  </si>
  <si>
    <t>Note [3]</t>
  </si>
  <si>
    <t>Return Proration</t>
  </si>
  <si>
    <t>WP 3</t>
  </si>
  <si>
    <t>Wind Return on Rate Base</t>
  </si>
  <si>
    <t>Line 43 * 44 * 45</t>
  </si>
  <si>
    <t>Transmission Average Rate Base</t>
  </si>
  <si>
    <t>Transmission Pre-tax Rate of Return</t>
  </si>
  <si>
    <t>Transmission Return on Rate Base</t>
  </si>
  <si>
    <t>Line 47 * 48 * 49</t>
  </si>
  <si>
    <t>PTC Carryforward Average Rate Base</t>
  </si>
  <si>
    <t>PTC Carryforward Pre-tax Rate of Return</t>
  </si>
  <si>
    <t>PTC Carryforward Return on Rate Base</t>
  </si>
  <si>
    <t>Line 51 * 52 * 53</t>
  </si>
  <si>
    <t>Total Return on Rate Base</t>
  </si>
  <si>
    <t>Sum lines 46, 50, 54</t>
  </si>
  <si>
    <t xml:space="preserve">  Note [1]:  Monthly Wind and Transmission Rate Base amounts reflect balances included in accounts: 1) 101-106, &amp; 114 for UPIS; 2) 108 for AD; and 3) 282 for ADIT</t>
  </si>
  <si>
    <t xml:space="preserve">  Note [2]:  Reflects accumulated deferred tax asset balance (account 190) with monthly accrual of PTCs </t>
  </si>
  <si>
    <t xml:space="preserve">  Note [3]:  Sourced from 'Updated IPL Confidential Hearing Exhibit 11 and Supporting Workpapers', filed November 7, 2019, in Docket No. RPU-2019-0001</t>
  </si>
  <si>
    <t>Cost of Service Items</t>
  </si>
  <si>
    <t>Wind Power Generation (MWh)</t>
  </si>
  <si>
    <t xml:space="preserve">  Total MWh Generation for RER</t>
  </si>
  <si>
    <t>Sum lines 1 - 5</t>
  </si>
  <si>
    <t>Production Tax Credit Rate ($/MWh)</t>
  </si>
  <si>
    <t>Tax Credit</t>
  </si>
  <si>
    <t>Line 6 * 7</t>
  </si>
  <si>
    <t>Tax Dampening Rate</t>
  </si>
  <si>
    <t>WP 4</t>
  </si>
  <si>
    <t>Revenue Multiplier</t>
  </si>
  <si>
    <t xml:space="preserve">  Total Wind PTCs Revenue Requirement</t>
  </si>
  <si>
    <t>Line 8 * 9 * 10</t>
  </si>
  <si>
    <t>Capacity Market Revenue</t>
  </si>
  <si>
    <t>Wind Depreciation Expense</t>
  </si>
  <si>
    <t>Note [4]</t>
  </si>
  <si>
    <t xml:space="preserve">  Total Wind Depreciation Expense</t>
  </si>
  <si>
    <t>Sum lines 13 - 18</t>
  </si>
  <si>
    <t>Transmission Depreciation Expense</t>
  </si>
  <si>
    <t xml:space="preserve">  Total Transmission Depreciation Expense</t>
  </si>
  <si>
    <t>Sum lines 20 - 24</t>
  </si>
  <si>
    <t>Wind Property Taxes</t>
  </si>
  <si>
    <t xml:space="preserve">  Total Property Taxes</t>
  </si>
  <si>
    <t>Sum lines 26 - 30</t>
  </si>
  <si>
    <t>Wind Income Tax Flowthrough Expense (Benefit)</t>
  </si>
  <si>
    <t>Note [5]</t>
  </si>
  <si>
    <t xml:space="preserve">  Total Wind Flowthrough Expense (Benefit)</t>
  </si>
  <si>
    <t>Sum lines 32 - 37</t>
  </si>
  <si>
    <t>Transmission Income Tax Flowthrough Expense (Benefit)</t>
  </si>
  <si>
    <t xml:space="preserve">  Total Transmission Flowthrough Expense (Benefit)</t>
  </si>
  <si>
    <t>Sum lines 39 - 43</t>
  </si>
  <si>
    <t>Total Cost of Service Expense (Benefit)</t>
  </si>
  <si>
    <t>Sum lines 11, 12, 19, 25, 31, 38, &amp; 44</t>
  </si>
  <si>
    <t>Cumulative Cost of Service Expense (Benefit)</t>
  </si>
  <si>
    <t>Sum of Line 45</t>
  </si>
  <si>
    <t xml:space="preserve">  Note [1]:  Net energy delivered that is eligible for production tax credit</t>
  </si>
  <si>
    <t xml:space="preserve">  Note [2]:  U.S. Dept. of Treasury May 13, 2020, Publication of inflation adjustment factors and reference prices for calendar year 2020 ($0.025/kWh or $25/MWh) </t>
  </si>
  <si>
    <t xml:space="preserve">  Note [3]:  Represents Non-requirements MISO capacity market revenue  </t>
  </si>
  <si>
    <t xml:space="preserve">  Note [4]:  Monthly Wind and Transmission depreciation expense reflected in FERC account 403.</t>
  </si>
  <si>
    <t xml:space="preserve">  Note [5]:  Income Tax Flowthrough Expense (Benefit) grossed-up to revenue requirement </t>
  </si>
  <si>
    <t xml:space="preserve">FERC Statement of Electric Sales </t>
  </si>
  <si>
    <t>February</t>
  </si>
  <si>
    <t>March</t>
  </si>
  <si>
    <t>April</t>
  </si>
  <si>
    <t>May</t>
  </si>
  <si>
    <t>June</t>
  </si>
  <si>
    <t>2020</t>
  </si>
  <si>
    <t xml:space="preserve">Megawatt-Hour Sales </t>
  </si>
  <si>
    <t>Actual</t>
  </si>
  <si>
    <t>Residential</t>
  </si>
  <si>
    <t>Commercial</t>
  </si>
  <si>
    <t>Industrial</t>
  </si>
  <si>
    <t>Public Street and Highway Lighting</t>
  </si>
  <si>
    <t xml:space="preserve">   Total From Retail Customers</t>
  </si>
  <si>
    <t>Sales for Resale</t>
  </si>
  <si>
    <t>Off-System Sales(Interchange)</t>
  </si>
  <si>
    <t>Off-System Sales(FERC netting)</t>
  </si>
  <si>
    <t xml:space="preserve">   Total Sales for Resale</t>
  </si>
  <si>
    <t xml:space="preserve">   Total Electric MWHs Sold</t>
  </si>
  <si>
    <t>IPL Retail Sales</t>
  </si>
  <si>
    <t>IPL Retail and Wholesale Sales</t>
  </si>
  <si>
    <t>From General Ledger report ALIGL008</t>
  </si>
  <si>
    <t>2020 Year-to-Date RER Revenue</t>
  </si>
  <si>
    <t>FERC</t>
  </si>
  <si>
    <t>F44000</t>
  </si>
  <si>
    <t>F44100</t>
  </si>
  <si>
    <t>F44200</t>
  </si>
  <si>
    <t>F44400</t>
  </si>
  <si>
    <t>GL Unit</t>
  </si>
  <si>
    <t>Project  ID</t>
  </si>
  <si>
    <t>Descr4</t>
  </si>
  <si>
    <t>Year</t>
  </si>
  <si>
    <t>Period</t>
  </si>
  <si>
    <t>RESIDENTIAL SALES</t>
  </si>
  <si>
    <t>FARM SALES</t>
  </si>
  <si>
    <t>COMMERCIAL &amp; INDUSTRIAL SALES</t>
  </si>
  <si>
    <t>PUBLIC STR &amp; HIGHWAY LIGHTING</t>
  </si>
  <si>
    <t>Grand Total</t>
  </si>
  <si>
    <t>10007</t>
  </si>
  <si>
    <t>098516</t>
  </si>
  <si>
    <t>REV-RENEWABLE ENERGY RIDER</t>
  </si>
  <si>
    <t>Calendarization Impact for Return on Rate Base*</t>
  </si>
  <si>
    <t>Date</t>
  </si>
  <si>
    <t>Days of Rate Implementation</t>
  </si>
  <si>
    <t>Calendarization</t>
  </si>
  <si>
    <t>RER Rate Implementation</t>
  </si>
  <si>
    <t>July</t>
  </si>
  <si>
    <t>August</t>
  </si>
  <si>
    <t>September</t>
  </si>
  <si>
    <t>October</t>
  </si>
  <si>
    <t>November</t>
  </si>
  <si>
    <t>December</t>
  </si>
  <si>
    <t xml:space="preserve">  * Due to Rate Implementation occuring February 26, 2020, the calendarization ratios in column (c) will not sum to 100%.</t>
  </si>
  <si>
    <t>Calculation of Composite Tax Rate</t>
  </si>
  <si>
    <t>IPL Composite Income Tax Rate</t>
  </si>
  <si>
    <t>Federal</t>
  </si>
  <si>
    <t>Iowa</t>
  </si>
  <si>
    <t>Pre-tax Book Income</t>
  </si>
  <si>
    <t xml:space="preserve">  Fed Tax (50%)</t>
  </si>
  <si>
    <t xml:space="preserve">  State Taxable Income</t>
  </si>
  <si>
    <t xml:space="preserve">  State Tax Rate</t>
  </si>
  <si>
    <t xml:space="preserve">  State Income Tax</t>
  </si>
  <si>
    <t xml:space="preserve">    State Credits</t>
  </si>
  <si>
    <t xml:space="preserve">  State Tax after Credits</t>
  </si>
  <si>
    <t>Federal Taxable Income</t>
  </si>
  <si>
    <t xml:space="preserve">  Fed Tax Rate</t>
  </si>
  <si>
    <t xml:space="preserve">  Federal Credits</t>
  </si>
  <si>
    <t>Fed Tax after Credits</t>
  </si>
  <si>
    <t>Total Tax</t>
  </si>
  <si>
    <t>Calculation of Federal Only Credit Rate</t>
  </si>
  <si>
    <t>Fed Only Credit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</si>
</sst>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0.0000%"/>
    <numFmt numFmtId="169" formatCode="_(* #,##0.0000_);_(* \(#,##0.0000\);_(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#,##0,_);\(#,##0,\)"/>
    <numFmt numFmtId="173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 Unicode MS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83">
    <xf numFmtId="0" fontId="0" fillId="0" borderId="0" xfId="0"/>
    <xf numFmtId="164" fontId="3" fillId="0" borderId="1" xfId="3" applyNumberFormat="1" applyFont="1" applyBorder="1" applyAlignment="1">
      <alignment horizontal="center"/>
    </xf>
    <xf numFmtId="0" fontId="5" fillId="0" borderId="0" xfId="3" applyFont="1"/>
    <xf numFmtId="164" fontId="3" fillId="0" borderId="0" xfId="3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/>
    <xf numFmtId="166" fontId="6" fillId="0" borderId="0" xfId="1" applyNumberFormat="1" applyFont="1"/>
    <xf numFmtId="165" fontId="6" fillId="0" borderId="2" xfId="2" applyNumberFormat="1" applyFont="1" applyBorder="1"/>
    <xf numFmtId="0" fontId="6" fillId="0" borderId="1" xfId="0" applyFont="1" applyBorder="1" applyAlignment="1">
      <alignment horizontal="center"/>
    </xf>
    <xf numFmtId="165" fontId="6" fillId="0" borderId="0" xfId="0" applyNumberFormat="1" applyFont="1"/>
    <xf numFmtId="44" fontId="6" fillId="0" borderId="0" xfId="0" applyNumberFormat="1" applyFont="1"/>
    <xf numFmtId="165" fontId="7" fillId="0" borderId="3" xfId="0" applyNumberFormat="1" applyFont="1" applyBorder="1"/>
    <xf numFmtId="0" fontId="7" fillId="0" borderId="0" xfId="0" applyFont="1"/>
    <xf numFmtId="166" fontId="6" fillId="0" borderId="2" xfId="1" applyNumberFormat="1" applyFont="1" applyBorder="1"/>
    <xf numFmtId="44" fontId="6" fillId="0" borderId="0" xfId="2" applyFont="1"/>
    <xf numFmtId="165" fontId="7" fillId="0" borderId="2" xfId="2" applyNumberFormat="1" applyFont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1" applyNumberFormat="1" applyFont="1"/>
    <xf numFmtId="10" fontId="0" fillId="0" borderId="0" xfId="6" applyNumberFormat="1" applyFont="1"/>
    <xf numFmtId="167" fontId="6" fillId="0" borderId="0" xfId="6" applyNumberFormat="1" applyFont="1"/>
    <xf numFmtId="10" fontId="6" fillId="0" borderId="2" xfId="6" applyNumberFormat="1" applyFont="1" applyBorder="1"/>
    <xf numFmtId="166" fontId="7" fillId="0" borderId="2" xfId="1" applyNumberFormat="1" applyFont="1" applyBorder="1"/>
    <xf numFmtId="10" fontId="4" fillId="0" borderId="0" xfId="8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6" fontId="8" fillId="0" borderId="0" xfId="7" applyNumberFormat="1" applyFont="1"/>
    <xf numFmtId="166" fontId="8" fillId="0" borderId="2" xfId="7" applyNumberFormat="1" applyFont="1" applyBorder="1"/>
    <xf numFmtId="10" fontId="8" fillId="0" borderId="1" xfId="8" applyNumberFormat="1" applyFont="1" applyBorder="1"/>
    <xf numFmtId="166" fontId="8" fillId="0" borderId="0" xfId="7" applyNumberFormat="1" applyFont="1" applyBorder="1"/>
    <xf numFmtId="9" fontId="8" fillId="0" borderId="0" xfId="0" applyNumberFormat="1" applyFont="1"/>
    <xf numFmtId="166" fontId="8" fillId="0" borderId="1" xfId="7" applyNumberFormat="1" applyFont="1" applyBorder="1"/>
    <xf numFmtId="166" fontId="8" fillId="0" borderId="4" xfId="0" applyNumberFormat="1" applyFont="1" applyBorder="1"/>
    <xf numFmtId="10" fontId="8" fillId="0" borderId="0" xfId="6" applyNumberFormat="1" applyFont="1"/>
    <xf numFmtId="166" fontId="8" fillId="0" borderId="0" xfId="0" applyNumberFormat="1" applyFont="1"/>
    <xf numFmtId="167" fontId="8" fillId="0" borderId="0" xfId="0" applyNumberFormat="1" applyFont="1"/>
    <xf numFmtId="168" fontId="8" fillId="0" borderId="0" xfId="0" applyNumberFormat="1" applyFont="1"/>
    <xf numFmtId="167" fontId="8" fillId="0" borderId="0" xfId="8" applyNumberFormat="1" applyFont="1"/>
    <xf numFmtId="166" fontId="8" fillId="0" borderId="0" xfId="0" applyNumberFormat="1" applyFont="1" applyBorder="1"/>
    <xf numFmtId="10" fontId="6" fillId="0" borderId="0" xfId="2" applyNumberFormat="1" applyFont="1"/>
    <xf numFmtId="169" fontId="6" fillId="0" borderId="0" xfId="1" applyNumberFormat="1" applyFont="1"/>
    <xf numFmtId="170" fontId="6" fillId="0" borderId="0" xfId="2" applyNumberFormat="1" applyFont="1"/>
    <xf numFmtId="171" fontId="6" fillId="0" borderId="0" xfId="2" applyNumberFormat="1" applyFont="1"/>
    <xf numFmtId="0" fontId="10" fillId="0" borderId="0" xfId="0" applyFont="1"/>
    <xf numFmtId="0" fontId="6" fillId="0" borderId="0" xfId="0" applyFont="1" applyFill="1"/>
    <xf numFmtId="0" fontId="6" fillId="0" borderId="0" xfId="0" quotePrefix="1" applyFont="1"/>
    <xf numFmtId="0" fontId="4" fillId="0" borderId="1" xfId="3" applyFont="1" applyBorder="1" applyAlignment="1">
      <alignment horizontal="center"/>
    </xf>
    <xf numFmtId="10" fontId="6" fillId="0" borderId="0" xfId="6" applyNumberFormat="1" applyFont="1"/>
    <xf numFmtId="0" fontId="11" fillId="0" borderId="0" xfId="0" applyFont="1"/>
    <xf numFmtId="0" fontId="0" fillId="0" borderId="0" xfId="0" applyAlignment="1">
      <alignment wrapText="1"/>
    </xf>
    <xf numFmtId="165" fontId="0" fillId="0" borderId="0" xfId="2" applyNumberFormat="1" applyFont="1"/>
    <xf numFmtId="165" fontId="0" fillId="0" borderId="5" xfId="2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 wrapText="1"/>
    </xf>
    <xf numFmtId="0" fontId="0" fillId="0" borderId="0" xfId="0" quotePrefix="1"/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172" fontId="4" fillId="0" borderId="0" xfId="0" quotePrefix="1" applyNumberFormat="1" applyFont="1" applyAlignment="1">
      <alignment horizontal="center"/>
    </xf>
    <xf numFmtId="173" fontId="4" fillId="0" borderId="0" xfId="0" quotePrefix="1" applyNumberFormat="1" applyFont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172" fontId="6" fillId="0" borderId="0" xfId="0" applyNumberFormat="1" applyFont="1" applyBorder="1"/>
    <xf numFmtId="172" fontId="6" fillId="0" borderId="0" xfId="0" applyNumberFormat="1" applyFont="1"/>
    <xf numFmtId="172" fontId="6" fillId="0" borderId="6" xfId="0" applyNumberFormat="1" applyFont="1" applyBorder="1"/>
    <xf numFmtId="172" fontId="6" fillId="0" borderId="7" xfId="0" applyNumberFormat="1" applyFont="1" applyBorder="1"/>
    <xf numFmtId="172" fontId="6" fillId="0" borderId="8" xfId="0" applyNumberFormat="1" applyFont="1" applyBorder="1"/>
    <xf numFmtId="0" fontId="3" fillId="0" borderId="0" xfId="0" applyFont="1" applyFill="1" applyBorder="1"/>
    <xf numFmtId="37" fontId="12" fillId="0" borderId="0" xfId="0" applyNumberFormat="1" applyFont="1" applyAlignment="1"/>
    <xf numFmtId="43" fontId="6" fillId="0" borderId="0" xfId="0" applyNumberFormat="1" applyFont="1"/>
    <xf numFmtId="0" fontId="6" fillId="0" borderId="0" xfId="0" quotePrefix="1" applyFont="1" applyAlignment="1">
      <alignment horizontal="center" wrapText="1"/>
    </xf>
    <xf numFmtId="0" fontId="4" fillId="0" borderId="0" xfId="3" applyFont="1" applyBorder="1" applyAlignment="1">
      <alignment horizontal="center"/>
    </xf>
    <xf numFmtId="166" fontId="6" fillId="0" borderId="0" xfId="1" applyNumberFormat="1" applyFont="1" applyFill="1"/>
  </cellXfs>
  <cellStyles count="10">
    <cellStyle name="Comma" xfId="1" builtinId="3"/>
    <cellStyle name="Comma 10 2 2 2" xfId="7" xr:uid="{DC5DA58F-5769-4C9E-B9B6-DB33523F69D4}"/>
    <cellStyle name="Comma 2" xfId="5" xr:uid="{FC728FB1-3558-4E2F-B70F-F5CA6879C653}"/>
    <cellStyle name="Currency" xfId="2" builtinId="4"/>
    <cellStyle name="Currency 2" xfId="4" xr:uid="{B5AB8072-DD91-46BF-9BCF-E8E3BFE88F0C}"/>
    <cellStyle name="Normal" xfId="0" builtinId="0"/>
    <cellStyle name="Normal 2" xfId="3" xr:uid="{194095FB-F540-45EA-A45A-04D84C8F8BF1}"/>
    <cellStyle name="Normal 3" xfId="9" xr:uid="{DE904AA0-406A-4AB0-A806-8771CA2F2AEF}"/>
    <cellStyle name="Percent" xfId="6" builtinId="5"/>
    <cellStyle name="Percent 10 2 2" xfId="8" xr:uid="{4AD0445E-0FBC-4D67-8119-6B3752A376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externalLinks/externalLink3.xml" Type="http://schemas.openxmlformats.org/officeDocument/2006/relationships/externalLink"/><Relationship Id="rId11" Target="externalLinks/externalLink4.xml" Type="http://schemas.openxmlformats.org/officeDocument/2006/relationships/externalLink"/><Relationship Id="rId12" Target="externalLinks/externalLink5.xml" Type="http://schemas.openxmlformats.org/officeDocument/2006/relationships/externalLink"/><Relationship Id="rId13" Target="externalLinks/externalLink6.xml" Type="http://schemas.openxmlformats.org/officeDocument/2006/relationships/externalLink"/><Relationship Id="rId14" Target="externalLinks/externalLink7.xml" Type="http://schemas.openxmlformats.org/officeDocument/2006/relationships/externalLink"/><Relationship Id="rId15" Target="externalLinks/externalLink8.xml" Type="http://schemas.openxmlformats.org/officeDocument/2006/relationships/externalLink"/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19" Target="calcChain.xml" Type="http://schemas.openxmlformats.org/officeDocument/2006/relationships/calcChain"/><Relationship Id="rId2" Target="worksheets/sheet2.xml" Type="http://schemas.openxmlformats.org/officeDocument/2006/relationships/worksheet"/><Relationship Id="rId20" Target="../customXml/item1.xml" Type="http://schemas.openxmlformats.org/officeDocument/2006/relationships/customXml"/><Relationship Id="rId21" Target="../customXml/item2.xml" Type="http://schemas.openxmlformats.org/officeDocument/2006/relationships/customXml"/><Relationship Id="rId22" Target="../customXml/item3.xml" Type="http://schemas.openxmlformats.org/officeDocument/2006/relationships/customXml"/><Relationship Id="rId23" Target="../customXml/item4.xml" Type="http://schemas.openxmlformats.org/officeDocument/2006/relationships/customXml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externalLinks/externalLink1.xml" Type="http://schemas.openxmlformats.org/officeDocument/2006/relationships/externalLink"/><Relationship Id="rId9" Target="externalLinks/externalLink2.xml" Type="http://schemas.openxmlformats.org/officeDocument/2006/relationships/externalLink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1203035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1210330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691649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54697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261804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587705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269359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file:///C:/BUD_RATE/WPL%20Regulatory/UR-119/Revenue%20Requirement%20Workpapers/2015%20COSS/COSS_UR-119_V2.xlsx" TargetMode="External" Type="http://schemas.openxmlformats.org/officeDocument/2006/relationships/externalLinkPath"/></Relationships>
</file>

<file path=xl/externalLinks/_rels/externalLink2.xml.rels><?xml version="1.0" encoding="UTF-8" standalone="no"?><Relationships xmlns="http://schemas.openxmlformats.org/package/2006/relationships"><Relationship Id="rId1" Target="file:///C:/BUD_RATE/UR-116/COSS/Elec%20&amp;%20Gas%20Combined%20COSS%20-%20UR%20116%20Application.xls" TargetMode="External" Type="http://schemas.openxmlformats.org/officeDocument/2006/relationships/externalLinkPath"/></Relationships>
</file>

<file path=xl/externalLinks/_rels/externalLink3.xml.rels><?xml version="1.0" encoding="UTF-8" standalone="no"?><Relationships xmlns="http://schemas.openxmlformats.org/package/2006/relationships"><Relationship Id="rId1" Target="http://bvdoc/Documents%20and%20Settings/ald44836/My%20Documents/CNC%20Cantarell/Cash%20Flows/PGE%20Port%20Westward/PGE%20Cash%20Flow.xls" TargetMode="External" Type="http://schemas.openxmlformats.org/officeDocument/2006/relationships/externalLinkPath"/></Relationships>
</file>

<file path=xl/externalLinks/_rels/externalLink4.xml.rels><?xml version="1.0" encoding="UTF-8" standalone="no"?><Relationships xmlns="http://schemas.openxmlformats.org/package/2006/relationships"><Relationship Id="rId1" Target="file:///C:/Documents%20and%20Settings/kyeh001/My%20Documents/Agouron/Ready%20for%20Review/Executive%20Summary/california%20Agouron%20Supermodel@10%25.xls" TargetMode="External" Type="http://schemas.openxmlformats.org/officeDocument/2006/relationships/externalLinkPath"/></Relationships>
</file>

<file path=xl/externalLinks/_rels/externalLink5.xml.rels><?xml version="1.0" encoding="UTF-8" standalone="no"?><Relationships xmlns="http://schemas.openxmlformats.org/package/2006/relationships"><Relationship Id="rId1" Target="file://///ussnd1gtsfp01/tls_snd1_grp/Documents%20and%20Settings/kyeh001/My%20Documents/Agouron/Ready%20for%20Review/Executive%20Summary/california%20Agouron%20Supermodel@10%25.xls" TargetMode="External" Type="http://schemas.openxmlformats.org/officeDocument/2006/relationships/externalLinkPath"/></Relationships>
</file>

<file path=xl/externalLinks/_rels/externalLink6.xml.rels><?xml version="1.0" encoding="UTF-8" standalone="no"?><Relationships xmlns="http://schemas.openxmlformats.org/package/2006/relationships"><Relationship Id="rId1" Target="file:///Z:/26.0000%20Cost/Cash%20Flow/B&amp;V%20Revenue/B&amp;V%20Revenue%200401.xlw" TargetMode="External" Type="http://schemas.openxmlformats.org/officeDocument/2006/relationships/externalLinkPath"/></Relationships>
</file>

<file path=xl/externalLinks/_rels/externalLink7.xml.rels><?xml version="1.0" encoding="UTF-8" standalone="no"?><Relationships xmlns="http://schemas.openxmlformats.org/package/2006/relationships"><Relationship Id="rId1" Target="file:///C:/Documentum/Viewed/2008%20New%20Method%20263A%20Calculation.xls" TargetMode="External" Type="http://schemas.openxmlformats.org/officeDocument/2006/relationships/externalLinkPath"/></Relationships>
</file>

<file path=xl/externalLinks/_rels/externalLink8.xml.rels><?xml version="1.0" encoding="UTF-8" standalone="no"?><Relationships xmlns="http://schemas.openxmlformats.org/package/2006/relationships"><Relationship Id="rId1" Target="file:///C:/DOCUME~1/KMARS001/LOCALS~1/Temp/notes335BF6/WBS%20by%20Profit%20Center%20CE%20Summary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Input Screen"/>
      <sheetName val="Gas Inputs"/>
      <sheetName val="TY O&amp;M Inputs"/>
      <sheetName val="TY Fuel Model Inputs"/>
      <sheetName val="TY Misc Inputs"/>
      <sheetName val="TY Plt-Reserve-CWIP"/>
      <sheetName val="TY Amort Inputs"/>
      <sheetName val="TY M&amp;S Input"/>
      <sheetName val="TY Income Tax Input"/>
      <sheetName val="TY Capital Input"/>
      <sheetName val="TY-1 Juris Allocations"/>
      <sheetName val="TY-2 Juris Allocations"/>
      <sheetName val="TY-1 Return Adder Calc"/>
      <sheetName val="TY-2 Return Adder Calc"/>
      <sheetName val="Electric COSS - Base View"/>
      <sheetName val="Electric COSS - UR TY-1 View"/>
      <sheetName val="Electric COSS - UR TY-2 View"/>
      <sheetName val="Gas COSS - Base View"/>
      <sheetName val="Gas COSS - UR TY-1 View"/>
      <sheetName val="Gas COSS - UR TY-2 View"/>
      <sheetName val="Electric Base vs UR TY-1"/>
      <sheetName val="Electric Base vs UR TY-2"/>
      <sheetName val="Gas Base vs UR TY-1"/>
      <sheetName val="Gas Base vs UR TY-2"/>
      <sheetName val="Func COSS - Retail Electric TY1"/>
      <sheetName val="Func COSS - Retail Electric TY2"/>
      <sheetName val="Changes to COSS"/>
      <sheetName val="COSS_UR-119_V2"/>
      <sheetName val="E COSS - 2015"/>
      <sheetName val="E COSS - 2016"/>
      <sheetName val="G COSS - 2015"/>
      <sheetName val="G COSS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Input Screen"/>
      <sheetName val="Gas Inputs"/>
      <sheetName val="Misc Inputs"/>
      <sheetName val="Return Adder Calculations"/>
      <sheetName val="TY Plant-Reserve-CWIP - COSS"/>
      <sheetName val="M&amp;S COSS Inputs"/>
      <sheetName val="Amort COSS Inputs"/>
      <sheetName val="O&amp;M COSS Inputs"/>
      <sheetName val="Juris Alloc COSS Inputs"/>
      <sheetName val="M&amp;S COSS Input"/>
      <sheetName val="Income Tax COSS Inputs"/>
      <sheetName val="Capital COSS Input"/>
      <sheetName val="Juris COSS - UR116 Filed"/>
      <sheetName val="Gas COSS UR116 Filed"/>
      <sheetName val="Filed 116 vs Final 115"/>
      <sheetName val="Final-UR-115"/>
      <sheetName val="Gas COSS UR115 Final"/>
      <sheetName val="Final 115 Vs Filed 116"/>
      <sheetName val="Func COSS - WI Retail Fi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Cash In"/>
      <sheetName val="Cash In Tables"/>
      <sheetName val="Cash In Graph"/>
      <sheetName val="Cash Out"/>
      <sheetName val="Cash Out Table"/>
      <sheetName val="Cash Out Graph"/>
      <sheetName val="Net Cash Table"/>
      <sheetName val="Net Cash Graph"/>
      <sheetName val="Summary Cash Flow Graph"/>
      <sheetName val="S-Curves"/>
      <sheetName val="Sheet1"/>
      <sheetName val="Z Code -  WBS "/>
      <sheetName val="contract review deleg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251746.56132775464</v>
          </cell>
        </row>
        <row r="17">
          <cell r="I17">
            <v>679332.55729849171</v>
          </cell>
        </row>
        <row r="18">
          <cell r="I18">
            <v>3570624.4958593282</v>
          </cell>
        </row>
        <row r="19">
          <cell r="I19">
            <v>4400758.0400662562</v>
          </cell>
        </row>
        <row r="20">
          <cell r="I20">
            <v>5686563.8147348259</v>
          </cell>
        </row>
        <row r="21">
          <cell r="I21">
            <v>8015501.6445099097</v>
          </cell>
        </row>
        <row r="22">
          <cell r="I22">
            <v>11133305.985312764</v>
          </cell>
        </row>
        <row r="23">
          <cell r="I23">
            <v>16853790.365184531</v>
          </cell>
        </row>
        <row r="24">
          <cell r="I24">
            <v>20269240.802584976</v>
          </cell>
        </row>
        <row r="25">
          <cell r="I25">
            <v>22599613.173820443</v>
          </cell>
        </row>
        <row r="26">
          <cell r="I26">
            <v>26321413.696716905</v>
          </cell>
        </row>
        <row r="27">
          <cell r="I27">
            <v>30036235.127879858</v>
          </cell>
        </row>
        <row r="28">
          <cell r="I28">
            <v>33818124.488211326</v>
          </cell>
        </row>
        <row r="29">
          <cell r="I29">
            <v>37668982.764238648</v>
          </cell>
        </row>
        <row r="30">
          <cell r="G30" t="str">
            <v xml:space="preserve"> </v>
          </cell>
          <cell r="I30">
            <v>41746354.08560136</v>
          </cell>
        </row>
        <row r="31">
          <cell r="I31">
            <v>47850579.099725828</v>
          </cell>
        </row>
        <row r="32">
          <cell r="I32">
            <v>56077951.983730972</v>
          </cell>
        </row>
        <row r="33">
          <cell r="I33">
            <v>65228503.66660814</v>
          </cell>
        </row>
        <row r="34">
          <cell r="I34">
            <v>78167489.910175517</v>
          </cell>
        </row>
        <row r="35">
          <cell r="I35">
            <v>85635025.231283277</v>
          </cell>
        </row>
        <row r="36">
          <cell r="I36">
            <v>90861960.150639355</v>
          </cell>
        </row>
        <row r="37">
          <cell r="I37">
            <v>96012560.601418033</v>
          </cell>
        </row>
        <row r="38">
          <cell r="I38">
            <v>100848476.69558626</v>
          </cell>
        </row>
        <row r="39">
          <cell r="I39">
            <v>104692826.53515811</v>
          </cell>
        </row>
      </sheetData>
      <sheetData sheetId="6" refreshError="1"/>
      <sheetData sheetId="7"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8690057.918672245</v>
          </cell>
        </row>
        <row r="17">
          <cell r="L17">
            <v>8262471.9227015087</v>
          </cell>
        </row>
        <row r="18">
          <cell r="L18">
            <v>5371179.9841406718</v>
          </cell>
        </row>
        <row r="19">
          <cell r="L19">
            <v>4541046.4399337443</v>
          </cell>
        </row>
        <row r="20">
          <cell r="L20">
            <v>14432496.265265176</v>
          </cell>
        </row>
        <row r="21">
          <cell r="L21">
            <v>13780146.775490092</v>
          </cell>
        </row>
        <row r="22">
          <cell r="L22">
            <v>19604146.914687239</v>
          </cell>
        </row>
        <row r="23">
          <cell r="L23">
            <v>22266604.234815471</v>
          </cell>
        </row>
        <row r="24">
          <cell r="L24">
            <v>21086604.917415023</v>
          </cell>
        </row>
        <row r="25">
          <cell r="L25">
            <v>24344860.346179552</v>
          </cell>
        </row>
        <row r="26">
          <cell r="L26">
            <v>21740785.383283094</v>
          </cell>
        </row>
        <row r="27">
          <cell r="L27">
            <v>20820277.852120139</v>
          </cell>
        </row>
        <row r="28">
          <cell r="L28">
            <v>22627016.291788667</v>
          </cell>
        </row>
        <row r="29">
          <cell r="L29">
            <v>26041374.155761346</v>
          </cell>
        </row>
        <row r="30">
          <cell r="L30">
            <v>25317179.514398634</v>
          </cell>
        </row>
        <row r="31">
          <cell r="L31">
            <v>23683856.740274161</v>
          </cell>
        </row>
        <row r="32">
          <cell r="L32">
            <v>22721699.996269017</v>
          </cell>
        </row>
        <row r="33">
          <cell r="L33">
            <v>15806599.433391854</v>
          </cell>
        </row>
        <row r="34">
          <cell r="L34">
            <v>7897378.2098244727</v>
          </cell>
        </row>
        <row r="35">
          <cell r="L35">
            <v>4900745.1287167072</v>
          </cell>
        </row>
        <row r="36">
          <cell r="L36">
            <v>-326189.79063937068</v>
          </cell>
        </row>
        <row r="37">
          <cell r="L37">
            <v>-4359064.6814180464</v>
          </cell>
        </row>
        <row r="38">
          <cell r="L38">
            <v>-9194980.7755862772</v>
          </cell>
        </row>
        <row r="39">
          <cell r="L39">
            <v>-9686153.9351581186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 t="str">
            <v/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 Plan Rev"/>
      <sheetName val="Contract Rev"/>
      <sheetName val="Cash Tables"/>
      <sheetName val="Rev. Cash Graph"/>
      <sheetName val="% Complete"/>
      <sheetName val="Progress Tables"/>
      <sheetName val="Progress Curve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A9" t="str">
            <v>B&amp;V Cash Flow Milestone Progress by Month</v>
          </cell>
        </row>
        <row r="14">
          <cell r="U14">
            <v>36403</v>
          </cell>
        </row>
        <row r="15">
          <cell r="U15" t="str">
            <v>Prior to NTP</v>
          </cell>
        </row>
        <row r="16">
          <cell r="U16">
            <v>36433</v>
          </cell>
        </row>
        <row r="17">
          <cell r="U17">
            <v>36463</v>
          </cell>
        </row>
        <row r="18">
          <cell r="U18">
            <v>36494</v>
          </cell>
        </row>
        <row r="19">
          <cell r="U19">
            <v>36524</v>
          </cell>
        </row>
        <row r="20">
          <cell r="U20">
            <v>36555</v>
          </cell>
        </row>
        <row r="21">
          <cell r="U21">
            <v>36585</v>
          </cell>
        </row>
        <row r="22">
          <cell r="U22">
            <v>36615</v>
          </cell>
        </row>
        <row r="23">
          <cell r="U23">
            <v>36646</v>
          </cell>
        </row>
        <row r="24">
          <cell r="U24">
            <v>36676</v>
          </cell>
        </row>
        <row r="25">
          <cell r="U25">
            <v>36707</v>
          </cell>
        </row>
        <row r="26">
          <cell r="U26">
            <v>36738</v>
          </cell>
        </row>
        <row r="27">
          <cell r="U27">
            <v>36769</v>
          </cell>
        </row>
        <row r="28">
          <cell r="U28">
            <v>36799</v>
          </cell>
        </row>
        <row r="29">
          <cell r="U29">
            <v>36830</v>
          </cell>
        </row>
        <row r="30">
          <cell r="U30">
            <v>36860</v>
          </cell>
        </row>
        <row r="31">
          <cell r="U31">
            <v>36891</v>
          </cell>
        </row>
        <row r="32">
          <cell r="U32">
            <v>36922</v>
          </cell>
        </row>
        <row r="33">
          <cell r="U33">
            <v>36950</v>
          </cell>
        </row>
        <row r="34">
          <cell r="U34">
            <v>36980</v>
          </cell>
        </row>
        <row r="35">
          <cell r="U35">
            <v>37011</v>
          </cell>
        </row>
        <row r="36">
          <cell r="U36">
            <v>37041</v>
          </cell>
        </row>
        <row r="37">
          <cell r="U37">
            <v>37072</v>
          </cell>
        </row>
        <row r="38">
          <cell r="U38">
            <v>37102</v>
          </cell>
        </row>
        <row r="39">
          <cell r="U39">
            <v>37133</v>
          </cell>
        </row>
        <row r="40">
          <cell r="U40">
            <v>37164</v>
          </cell>
        </row>
        <row r="41">
          <cell r="U41">
            <v>37194</v>
          </cell>
        </row>
        <row r="42">
          <cell r="U42">
            <v>37225</v>
          </cell>
        </row>
        <row r="43">
          <cell r="U43">
            <v>37255</v>
          </cell>
        </row>
        <row r="44">
          <cell r="U44">
            <v>37286</v>
          </cell>
        </row>
        <row r="45">
          <cell r="U45">
            <v>37315</v>
          </cell>
        </row>
        <row r="46">
          <cell r="U46">
            <v>37345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B298-A9EF-45B8-938D-4847EE1D7C24}">
  <sheetPr>
    <pageSetUpPr fitToPage="1"/>
  </sheetPr>
  <dimension ref="B3:P30"/>
  <sheetViews>
    <sheetView tabSelected="1" zoomScale="85" zoomScaleNormal="85" workbookViewId="0">
      <selection sqref="A1:XFD1"/>
    </sheetView>
  </sheetViews>
  <sheetFormatPr defaultColWidth="17.109375" defaultRowHeight="13.2" x14ac:dyDescent="0.25"/>
  <cols>
    <col min="1" max="1" customWidth="true" style="5" width="2.6640625" collapsed="false"/>
    <col min="2" max="2" customWidth="true" style="5" width="6.33203125" collapsed="false"/>
    <col min="3" max="3" customWidth="true" style="5" width="35.6640625" collapsed="false"/>
    <col min="4" max="4" bestFit="true" customWidth="true" style="5" width="20.44140625" collapsed="false"/>
    <col min="5" max="16" customWidth="true" style="5" width="17.109375" collapsed="false"/>
    <col min="17" max="16384" style="5" width="17.109375" collapsed="false"/>
  </cols>
  <sheetData>
    <row r="3" spans="2:16" x14ac:dyDescent="0.25"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</row>
    <row r="4" spans="2:16" x14ac:dyDescent="0.25">
      <c r="B4" s="10" t="s">
        <v>12</v>
      </c>
      <c r="C4" s="81" t="s">
        <v>13</v>
      </c>
      <c r="E4" s="4">
        <v>43861</v>
      </c>
      <c r="F4" s="4">
        <v>43890</v>
      </c>
      <c r="G4" s="4">
        <v>43921</v>
      </c>
      <c r="H4" s="4">
        <v>43951</v>
      </c>
      <c r="I4" s="4">
        <v>43982</v>
      </c>
      <c r="J4" s="4">
        <v>44012</v>
      </c>
      <c r="K4" s="4">
        <v>44043</v>
      </c>
      <c r="L4" s="4">
        <v>44074</v>
      </c>
      <c r="M4" s="4">
        <v>44104</v>
      </c>
      <c r="N4" s="4">
        <v>44135</v>
      </c>
      <c r="O4" s="4">
        <v>44165</v>
      </c>
      <c r="P4" s="4">
        <v>44196</v>
      </c>
    </row>
    <row r="5" spans="2:16" x14ac:dyDescent="0.25">
      <c r="B5" s="14" t="s">
        <v>14</v>
      </c>
      <c r="C5" s="55" t="s">
        <v>15</v>
      </c>
      <c r="E5" s="1" t="s">
        <v>16</v>
      </c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  <c r="L5" s="1"/>
      <c r="M5" s="1"/>
      <c r="N5" s="1"/>
      <c r="O5" s="1"/>
      <c r="P5" s="1"/>
    </row>
    <row r="6" spans="2:16" ht="15.6" x14ac:dyDescent="0.3">
      <c r="C6" s="2"/>
    </row>
    <row r="8" spans="2:16" x14ac:dyDescent="0.25">
      <c r="C8" s="5" t="s">
        <v>17</v>
      </c>
    </row>
    <row r="9" spans="2:16" x14ac:dyDescent="0.25">
      <c r="B9" s="10">
        <v>1</v>
      </c>
      <c r="C9" s="5" t="s">
        <v>18</v>
      </c>
      <c r="D9" s="10" t="s">
        <v>19</v>
      </c>
      <c r="E9" s="11"/>
      <c r="F9" s="11">
        <f>'Sch. B - Rate Base'!G80</f>
        <v>1057283.1268406138</v>
      </c>
      <c r="G9" s="11">
        <f>'Sch. B - Rate Base'!H80</f>
        <v>10304472.437402785</v>
      </c>
      <c r="H9" s="11">
        <f>'Sch. B - Rate Base'!I80</f>
        <v>20302764.789177936</v>
      </c>
      <c r="I9" s="11">
        <f>'Sch. B - Rate Base'!J80</f>
        <v>31127215.361977126</v>
      </c>
      <c r="J9" s="11">
        <f>'Sch. B - Rate Base'!K80</f>
        <v>41926345.751755595</v>
      </c>
      <c r="K9" s="12"/>
      <c r="L9" s="12"/>
      <c r="M9" s="12"/>
      <c r="N9" s="12"/>
      <c r="O9" s="12"/>
      <c r="P9" s="12"/>
    </row>
    <row r="10" spans="2:16" x14ac:dyDescent="0.25">
      <c r="B10" s="10">
        <f>B9+1</f>
        <v>2</v>
      </c>
      <c r="C10" s="5" t="s">
        <v>20</v>
      </c>
      <c r="D10" s="10" t="s">
        <v>21</v>
      </c>
      <c r="E10" s="12"/>
      <c r="F10" s="11">
        <f ca="1">'Sch. C - Cost of Service'!F66</f>
        <v>-769401.91703265719</v>
      </c>
      <c r="G10" s="11">
        <f ca="1">'Sch. C - Cost of Service'!G66</f>
        <v>-9248487.6293593775</v>
      </c>
      <c r="H10" s="11">
        <f ca="1">'Sch. C - Cost of Service'!H66</f>
        <v>-16684272.194198273</v>
      </c>
      <c r="I10" s="11">
        <f ca="1">'Sch. C - Cost of Service'!I66</f>
        <v>-22665461.623013001</v>
      </c>
      <c r="J10" s="11">
        <f ca="1">'Sch. C - Cost of Service'!J66</f>
        <v>-34303293.752155632</v>
      </c>
      <c r="K10" s="12"/>
      <c r="L10" s="12"/>
      <c r="M10" s="12"/>
      <c r="N10" s="12"/>
      <c r="O10" s="12"/>
      <c r="P10" s="12"/>
    </row>
    <row r="11" spans="2:16" x14ac:dyDescent="0.25">
      <c r="B11" s="10">
        <f>B10+1</f>
        <v>3</v>
      </c>
      <c r="C11" s="5" t="s">
        <v>22</v>
      </c>
      <c r="D11" s="6" t="s">
        <v>23</v>
      </c>
      <c r="E11" s="13">
        <f t="shared" ref="E11:P11" si="0">SUM(E9:E10)</f>
        <v>0</v>
      </c>
      <c r="F11" s="13">
        <f t="shared" ca="1" si="0"/>
        <v>287881.20980795659</v>
      </c>
      <c r="G11" s="13">
        <f ca="1">SUM(G9:G10)</f>
        <v>1055984.8080434073</v>
      </c>
      <c r="H11" s="13">
        <f ca="1">SUM(H9:H10)</f>
        <v>3618492.5949796624</v>
      </c>
      <c r="I11" s="13">
        <f ca="1">SUM(I9:I10)</f>
        <v>8461753.7389641255</v>
      </c>
      <c r="J11" s="13">
        <f ca="1">SUM(J9:J10)</f>
        <v>7623051.9995999634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2:16" x14ac:dyDescent="0.25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x14ac:dyDescent="0.25">
      <c r="C13" s="5" t="s">
        <v>24</v>
      </c>
      <c r="E13" s="20"/>
      <c r="F13" s="20"/>
      <c r="G13" s="20"/>
      <c r="H13" s="5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0">
        <f>B11+1</f>
        <v>4</v>
      </c>
      <c r="C14" s="5" t="s">
        <v>25</v>
      </c>
      <c r="D14" s="10" t="s">
        <v>26</v>
      </c>
      <c r="E14" s="82"/>
      <c r="F14" s="82">
        <f>'WP 1 - MWh Sales'!E23</f>
        <v>1173658883.98</v>
      </c>
      <c r="G14" s="82">
        <f>'WP 1 - MWh Sales'!F23</f>
        <v>1085864038.1099999</v>
      </c>
      <c r="H14" s="82">
        <f>'WP 1 - MWh Sales'!G23</f>
        <v>989692714.16000021</v>
      </c>
      <c r="I14" s="82">
        <f>'WP 1 - MWh Sales'!H23</f>
        <v>1015687444.7200004</v>
      </c>
      <c r="J14" s="82">
        <f>'WP 1 - MWh Sales'!I23</f>
        <v>1192311078.1799994</v>
      </c>
      <c r="K14" s="11"/>
      <c r="L14" s="11"/>
      <c r="M14" s="11"/>
      <c r="N14" s="11"/>
      <c r="O14" s="11"/>
      <c r="P14" s="11"/>
    </row>
    <row r="15" spans="2:16" x14ac:dyDescent="0.25">
      <c r="B15" s="10">
        <f t="shared" ref="B15:B16" si="1">B14+1</f>
        <v>5</v>
      </c>
      <c r="C15" s="5" t="s">
        <v>27</v>
      </c>
      <c r="D15" s="10" t="s">
        <v>26</v>
      </c>
      <c r="E15" s="82"/>
      <c r="F15" s="82">
        <f>'WP 1 - MWh Sales'!E24</f>
        <v>1233358403.98</v>
      </c>
      <c r="G15" s="82">
        <f>'WP 1 - MWh Sales'!F24</f>
        <v>1142716895.1099999</v>
      </c>
      <c r="H15" s="82">
        <f>'WP 1 - MWh Sales'!G24</f>
        <v>1037672730.1600002</v>
      </c>
      <c r="I15" s="82">
        <f>'WP 1 - MWh Sales'!H24</f>
        <v>1063469350.7200004</v>
      </c>
      <c r="J15" s="82">
        <f>'WP 1 - MWh Sales'!I24</f>
        <v>1256553894.1799994</v>
      </c>
      <c r="K15" s="11"/>
      <c r="L15" s="11"/>
      <c r="M15" s="11"/>
      <c r="N15" s="11"/>
      <c r="O15" s="11"/>
      <c r="P15" s="11"/>
    </row>
    <row r="16" spans="2:16" x14ac:dyDescent="0.25">
      <c r="B16" s="10">
        <f t="shared" si="1"/>
        <v>6</v>
      </c>
      <c r="C16" s="5" t="s">
        <v>28</v>
      </c>
      <c r="D16" s="6" t="s">
        <v>29</v>
      </c>
      <c r="E16" s="28"/>
      <c r="F16" s="28"/>
      <c r="G16" s="28"/>
      <c r="H16" s="28"/>
      <c r="I16" s="28"/>
      <c r="J16" s="28">
        <f>IFERROR(SUM($E$14:J14)/SUM($E$15:J15)," ")</f>
        <v>0.95176697817598266</v>
      </c>
      <c r="K16" s="28"/>
      <c r="L16" s="28"/>
      <c r="M16" s="28"/>
      <c r="N16" s="28"/>
      <c r="O16" s="28"/>
      <c r="P16" s="28"/>
    </row>
    <row r="17" spans="2:16" x14ac:dyDescent="0.25">
      <c r="B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5">
      <c r="B18" s="10">
        <f>B16+1</f>
        <v>7</v>
      </c>
      <c r="C18" s="5" t="s">
        <v>30</v>
      </c>
      <c r="D18" s="10" t="s">
        <v>31</v>
      </c>
      <c r="E18" s="21">
        <f t="shared" ref="E18:P18" si="2">IFERROR(E11*E16,0)</f>
        <v>0</v>
      </c>
      <c r="F18" s="21">
        <f t="shared" ca="1" si="2"/>
        <v>0</v>
      </c>
      <c r="G18" s="21">
        <f ca="1">IFERROR(G11*G16,0)</f>
        <v>0</v>
      </c>
      <c r="H18" s="21">
        <f ca="1">IFERROR(H11*H16,0)</f>
        <v>0</v>
      </c>
      <c r="I18" s="21">
        <f ca="1">IFERROR(I11*I16,0)</f>
        <v>0</v>
      </c>
      <c r="J18" s="21">
        <f ca="1">IFERROR(J11*J16,0)</f>
        <v>7255369.1661376394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</row>
    <row r="19" spans="2:16" x14ac:dyDescent="0.2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x14ac:dyDescent="0.25">
      <c r="C20" s="53" t="s">
        <v>32</v>
      </c>
      <c r="G20" s="51"/>
    </row>
    <row r="21" spans="2:16" x14ac:dyDescent="0.25">
      <c r="B21" s="10">
        <f>B18+1</f>
        <v>8</v>
      </c>
      <c r="C21" s="5" t="s">
        <v>33</v>
      </c>
      <c r="D21" s="10" t="s">
        <v>34</v>
      </c>
      <c r="E21" s="12"/>
      <c r="F21" s="11">
        <f>-'WP 2 - YTD RER Rev.'!K7</f>
        <v>66476.280000000013</v>
      </c>
      <c r="G21" s="11">
        <f>-'WP 2 - YTD RER Rev.'!K8</f>
        <v>3399096.830000001</v>
      </c>
      <c r="H21" s="11">
        <f>-'WP 2 - YTD RER Rev.'!K9</f>
        <v>2687169.6799999997</v>
      </c>
      <c r="I21" s="11">
        <f>-'WP 2 - YTD RER Rev.'!K10</f>
        <v>2756338.7700000009</v>
      </c>
      <c r="J21" s="11">
        <f>-'WP 2 - YTD RER Rev.'!K11</f>
        <v>3238304.4000000008</v>
      </c>
      <c r="K21" s="12"/>
      <c r="L21" s="12"/>
      <c r="M21" s="12"/>
      <c r="N21" s="12"/>
      <c r="O21" s="12"/>
      <c r="P21" s="12"/>
    </row>
    <row r="22" spans="2:16" x14ac:dyDescent="0.25">
      <c r="B22" s="10">
        <f t="shared" ref="B22" si="3">B21+1</f>
        <v>9</v>
      </c>
      <c r="C22" s="5" t="s">
        <v>35</v>
      </c>
      <c r="D22" s="6" t="s">
        <v>36</v>
      </c>
      <c r="E22" s="21">
        <f>SUM($E$21:E21)</f>
        <v>0</v>
      </c>
      <c r="F22" s="21">
        <f>SUM($E$21:F21)</f>
        <v>66476.280000000013</v>
      </c>
      <c r="G22" s="21">
        <f>SUM($E$21:G21)</f>
        <v>3465573.1100000008</v>
      </c>
      <c r="H22" s="21">
        <f>SUM($E$21:H21)</f>
        <v>6152742.790000001</v>
      </c>
      <c r="I22" s="21">
        <f>SUM($E$21:I21)</f>
        <v>8909081.5600000024</v>
      </c>
      <c r="J22" s="21">
        <f>SUM($E$21:J21)</f>
        <v>12147385.960000003</v>
      </c>
      <c r="K22" s="21"/>
      <c r="L22" s="21"/>
      <c r="M22" s="21"/>
      <c r="N22" s="21"/>
      <c r="O22" s="21"/>
      <c r="P22" s="21"/>
    </row>
    <row r="23" spans="2:16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5">
      <c r="C24" s="5" t="s">
        <v>37</v>
      </c>
    </row>
    <row r="25" spans="2:16" x14ac:dyDescent="0.25">
      <c r="B25" s="10">
        <f>B22+1</f>
        <v>10</v>
      </c>
      <c r="C25" s="5" t="s">
        <v>38</v>
      </c>
      <c r="D25" s="6" t="s">
        <v>39</v>
      </c>
      <c r="E25" s="21"/>
      <c r="F25" s="21"/>
      <c r="G25" s="21">
        <v>2344061.6234537959</v>
      </c>
      <c r="H25" s="21"/>
      <c r="I25" s="21"/>
      <c r="J25" s="21">
        <f ca="1">J22-J18</f>
        <v>4892016.7938623633</v>
      </c>
      <c r="K25" s="11"/>
      <c r="L25" s="11"/>
      <c r="M25" s="11"/>
      <c r="N25" s="11"/>
      <c r="O25" s="11"/>
      <c r="P25" s="11"/>
    </row>
    <row r="26" spans="2:16" x14ac:dyDescent="0.25">
      <c r="B26" s="10">
        <f t="shared" ref="B26" si="4">B25+1</f>
        <v>11</v>
      </c>
      <c r="C26" s="5" t="s">
        <v>40</v>
      </c>
      <c r="D26" s="6"/>
      <c r="E26" s="21"/>
      <c r="F26" s="21"/>
      <c r="G26" s="21">
        <v>2344061.6234537959</v>
      </c>
      <c r="H26" s="21"/>
      <c r="I26" s="21"/>
      <c r="J26" s="21">
        <f ca="1">J25-G25</f>
        <v>2547955.1704085674</v>
      </c>
      <c r="K26" s="11"/>
      <c r="L26" s="11"/>
      <c r="M26" s="11"/>
      <c r="N26" s="11"/>
      <c r="O26" s="11"/>
      <c r="P26" s="11"/>
    </row>
    <row r="28" spans="2:16" x14ac:dyDescent="0.25">
      <c r="C28" s="5" t="s">
        <v>41</v>
      </c>
      <c r="G28" s="22"/>
    </row>
    <row r="29" spans="2:16" x14ac:dyDescent="0.25">
      <c r="C29" s="54" t="s">
        <v>42</v>
      </c>
    </row>
    <row r="30" spans="2:16" x14ac:dyDescent="0.25">
      <c r="C30" s="5" t="s">
        <v>43</v>
      </c>
    </row>
  </sheetData>
  <protectedRanges>
    <protectedRange sqref="E4:F4 E5:J5" name="Range1_2"/>
  </protectedRanges>
  <pageMargins left="0.25" right="0.25" top="0.75" bottom="0.75" header="0.3" footer="0.3"/>
  <pageSetup orientation="landscape" verticalDpi="90" r:id="rId1"/>
  <headerFooter scaleWithDoc="0" alignWithMargins="0">
    <oddFooter>&amp;R&amp;"Arial,Bold"&amp;10&amp;A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2925-03B4-4E22-AB8F-94C90E9142B4}">
  <sheetPr>
    <pageSetUpPr fitToPage="1"/>
  </sheetPr>
  <dimension ref="B2:R87"/>
  <sheetViews>
    <sheetView tabSelected="1" zoomScale="85" zoomScaleNormal="85" workbookViewId="0">
      <selection sqref="A1:XFD1"/>
    </sheetView>
  </sheetViews>
  <sheetFormatPr defaultColWidth="17.109375" defaultRowHeight="13.2" x14ac:dyDescent="0.25"/>
  <cols>
    <col min="1" max="1" customWidth="true" style="5" width="2.6640625" collapsed="false"/>
    <col min="2" max="2" customWidth="true" style="5" width="6.33203125" collapsed="false"/>
    <col min="3" max="3" customWidth="true" style="5" width="35.5546875" collapsed="false"/>
    <col min="4" max="4" bestFit="true" customWidth="true" style="10" width="18.44140625" collapsed="false"/>
    <col min="5" max="5" customWidth="true" style="5" width="18.0" collapsed="false"/>
    <col min="6" max="6" bestFit="true" customWidth="true" style="5" width="21.5546875" collapsed="false"/>
    <col min="7" max="7" bestFit="true" customWidth="true" style="5" width="21.33203125" collapsed="false"/>
    <col min="8" max="8" bestFit="true" customWidth="true" style="5" width="20.44140625" collapsed="false"/>
    <col min="9" max="17" style="5" width="17.109375" collapsed="false"/>
    <col min="18" max="18" customWidth="true" style="5" width="4.0" collapsed="false"/>
    <col min="19" max="16384" style="5" width="17.109375" collapsed="false"/>
  </cols>
  <sheetData>
    <row r="2" spans="2:18" x14ac:dyDescent="0.25">
      <c r="R2" s="7"/>
    </row>
    <row r="3" spans="2:18" x14ac:dyDescent="0.25"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44</v>
      </c>
      <c r="R3" s="8"/>
    </row>
    <row r="4" spans="2:18" x14ac:dyDescent="0.25">
      <c r="B4" s="10" t="s">
        <v>12</v>
      </c>
      <c r="E4" s="4">
        <v>43830</v>
      </c>
      <c r="F4" s="4">
        <v>43861</v>
      </c>
      <c r="G4" s="4">
        <v>43890</v>
      </c>
      <c r="H4" s="4">
        <v>43921</v>
      </c>
      <c r="I4" s="4">
        <v>43951</v>
      </c>
      <c r="J4" s="4">
        <v>43982</v>
      </c>
      <c r="K4" s="4">
        <v>44012</v>
      </c>
      <c r="L4" s="4">
        <v>44043</v>
      </c>
      <c r="M4" s="4">
        <v>44074</v>
      </c>
      <c r="N4" s="4">
        <v>44104</v>
      </c>
      <c r="O4" s="4">
        <v>44135</v>
      </c>
      <c r="P4" s="4">
        <v>44165</v>
      </c>
      <c r="Q4" s="4">
        <v>44196</v>
      </c>
      <c r="R4" s="9"/>
    </row>
    <row r="5" spans="2:18" x14ac:dyDescent="0.25">
      <c r="B5" s="14" t="s">
        <v>14</v>
      </c>
      <c r="C5" s="55" t="s">
        <v>45</v>
      </c>
      <c r="E5" s="1" t="s">
        <v>16</v>
      </c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 t="s">
        <v>16</v>
      </c>
      <c r="L5" s="1"/>
      <c r="M5" s="1"/>
      <c r="N5" s="1"/>
      <c r="O5" s="1"/>
      <c r="P5" s="1"/>
      <c r="Q5" s="1"/>
      <c r="R5" s="3"/>
    </row>
    <row r="7" spans="2:18" x14ac:dyDescent="0.25">
      <c r="C7" s="5" t="s">
        <v>46</v>
      </c>
    </row>
    <row r="8" spans="2:18" x14ac:dyDescent="0.25">
      <c r="B8" s="10">
        <v>1</v>
      </c>
      <c r="C8" s="5" t="s">
        <v>47</v>
      </c>
      <c r="D8" s="6" t="s">
        <v>48</v>
      </c>
      <c r="E8" s="11">
        <v>457323563.46999997</v>
      </c>
      <c r="F8" s="11">
        <v>458890017.09999996</v>
      </c>
      <c r="G8" s="11">
        <v>459419106.15999997</v>
      </c>
      <c r="H8" s="11">
        <v>459580884.37</v>
      </c>
      <c r="I8" s="11">
        <v>460367901.71999991</v>
      </c>
      <c r="J8" s="11">
        <v>460473198.8499999</v>
      </c>
      <c r="K8" s="11">
        <v>460606678.21999991</v>
      </c>
      <c r="L8" s="11"/>
      <c r="M8" s="11"/>
      <c r="N8" s="11"/>
      <c r="O8" s="11"/>
      <c r="P8" s="11"/>
      <c r="Q8" s="11"/>
    </row>
    <row r="9" spans="2:18" x14ac:dyDescent="0.25">
      <c r="B9" s="10">
        <f>B8+1</f>
        <v>2</v>
      </c>
      <c r="C9" s="5" t="s">
        <v>49</v>
      </c>
      <c r="D9" s="6" t="s">
        <v>48</v>
      </c>
      <c r="E9" s="12">
        <v>263160879.69999999</v>
      </c>
      <c r="F9" s="12">
        <v>263919879.00999999</v>
      </c>
      <c r="G9" s="12">
        <v>263921587.37000003</v>
      </c>
      <c r="H9" s="12">
        <v>266128012.61000004</v>
      </c>
      <c r="I9" s="12">
        <v>264026943.15000001</v>
      </c>
      <c r="J9" s="12">
        <v>264100259.66000003</v>
      </c>
      <c r="K9" s="12">
        <v>264138998.62000003</v>
      </c>
      <c r="L9" s="12"/>
      <c r="M9" s="12"/>
      <c r="N9" s="12"/>
      <c r="O9" s="12"/>
      <c r="P9" s="12"/>
      <c r="Q9" s="12"/>
    </row>
    <row r="10" spans="2:18" x14ac:dyDescent="0.25">
      <c r="B10" s="10">
        <f t="shared" ref="B10:B14" si="0">B9+1</f>
        <v>3</v>
      </c>
      <c r="C10" s="5" t="s">
        <v>50</v>
      </c>
      <c r="D10" s="6" t="s">
        <v>48</v>
      </c>
      <c r="E10" s="12">
        <v>99270.68</v>
      </c>
      <c r="F10" s="12">
        <v>300509268.72999996</v>
      </c>
      <c r="G10" s="12">
        <v>306027814.59999996</v>
      </c>
      <c r="H10" s="12">
        <v>307385613.48999995</v>
      </c>
      <c r="I10" s="12">
        <v>307634809.18000001</v>
      </c>
      <c r="J10" s="12">
        <v>307966263.69999999</v>
      </c>
      <c r="K10" s="12">
        <v>310395609.81000006</v>
      </c>
      <c r="L10" s="12"/>
      <c r="M10" s="12"/>
      <c r="N10" s="12"/>
      <c r="O10" s="12"/>
      <c r="P10" s="12"/>
      <c r="Q10" s="12"/>
    </row>
    <row r="11" spans="2:18" x14ac:dyDescent="0.25">
      <c r="B11" s="10">
        <f t="shared" si="0"/>
        <v>4</v>
      </c>
      <c r="C11" s="5" t="s">
        <v>51</v>
      </c>
      <c r="D11" s="6" t="s">
        <v>48</v>
      </c>
      <c r="E11" s="12">
        <v>55731.95</v>
      </c>
      <c r="F11" s="12">
        <v>73771.13</v>
      </c>
      <c r="G11" s="12">
        <v>73904.459999999992</v>
      </c>
      <c r="H11" s="12">
        <v>319834971.21999997</v>
      </c>
      <c r="I11" s="12">
        <v>320409066.85999995</v>
      </c>
      <c r="J11" s="12">
        <v>320744551.29999995</v>
      </c>
      <c r="K11" s="12">
        <v>320885239.06999993</v>
      </c>
      <c r="L11" s="12"/>
      <c r="M11" s="12"/>
      <c r="N11" s="12"/>
      <c r="O11" s="12"/>
      <c r="P11" s="12"/>
      <c r="Q11" s="12"/>
    </row>
    <row r="12" spans="2:18" x14ac:dyDescent="0.25">
      <c r="B12" s="10">
        <f t="shared" si="0"/>
        <v>5</v>
      </c>
      <c r="C12" s="5" t="s">
        <v>52</v>
      </c>
      <c r="D12" s="6" t="s">
        <v>48</v>
      </c>
      <c r="E12" s="12">
        <v>167109.13</v>
      </c>
      <c r="F12" s="12">
        <v>167109.13</v>
      </c>
      <c r="G12" s="12">
        <v>167109.13</v>
      </c>
      <c r="H12" s="12">
        <v>167109.13</v>
      </c>
      <c r="I12" s="12">
        <v>176411.68</v>
      </c>
      <c r="J12" s="12">
        <v>175979.51</v>
      </c>
      <c r="K12" s="12">
        <v>175911.57</v>
      </c>
      <c r="L12" s="12"/>
      <c r="M12" s="12"/>
      <c r="N12" s="12"/>
      <c r="O12" s="12"/>
      <c r="P12" s="12"/>
      <c r="Q12" s="12"/>
    </row>
    <row r="13" spans="2:18" x14ac:dyDescent="0.25">
      <c r="B13" s="10">
        <f t="shared" si="0"/>
        <v>6</v>
      </c>
      <c r="C13" s="5" t="s">
        <v>53</v>
      </c>
      <c r="D13" s="6" t="s">
        <v>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 x14ac:dyDescent="0.25">
      <c r="B14" s="10">
        <f t="shared" si="0"/>
        <v>7</v>
      </c>
      <c r="C14" s="5" t="s">
        <v>54</v>
      </c>
      <c r="D14" s="6" t="s">
        <v>55</v>
      </c>
      <c r="E14" s="13">
        <f>SUM(E8:E13)</f>
        <v>720806554.92999995</v>
      </c>
      <c r="F14" s="13">
        <f t="shared" ref="F14:Q14" si="1">SUM(F8:F13)</f>
        <v>1023560045.0999999</v>
      </c>
      <c r="G14" s="13">
        <f t="shared" si="1"/>
        <v>1029609521.7199999</v>
      </c>
      <c r="H14" s="13">
        <f t="shared" si="1"/>
        <v>1353096590.8200002</v>
      </c>
      <c r="I14" s="13">
        <f t="shared" ref="I14" si="2">SUM(I8:I13)</f>
        <v>1352615132.5899999</v>
      </c>
      <c r="J14" s="13">
        <f t="shared" si="1"/>
        <v>1353460253.02</v>
      </c>
      <c r="K14" s="13">
        <f t="shared" si="1"/>
        <v>1356202437.2899997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</row>
    <row r="15" spans="2:18" x14ac:dyDescent="0.25">
      <c r="E15" s="12"/>
      <c r="F15" s="12"/>
      <c r="G15" s="12"/>
      <c r="H15" s="12"/>
    </row>
    <row r="16" spans="2:18" x14ac:dyDescent="0.25">
      <c r="C16" s="5" t="s">
        <v>56</v>
      </c>
      <c r="I16" s="22"/>
      <c r="J16" s="22"/>
    </row>
    <row r="17" spans="2:17" x14ac:dyDescent="0.25">
      <c r="B17" s="10">
        <f>B14+1</f>
        <v>8</v>
      </c>
      <c r="C17" s="5" t="s">
        <v>47</v>
      </c>
      <c r="D17" s="6" t="s">
        <v>48</v>
      </c>
      <c r="E17" s="11">
        <v>-9194496.5399999972</v>
      </c>
      <c r="F17" s="11">
        <v>-10169972.050000001</v>
      </c>
      <c r="G17" s="11">
        <v>-11152534.01</v>
      </c>
      <c r="H17" s="11">
        <v>-12133748.65</v>
      </c>
      <c r="I17" s="11">
        <v>-13115951.619999999</v>
      </c>
      <c r="J17" s="11">
        <v>-14099084.08</v>
      </c>
      <c r="K17" s="11">
        <v>-15082465.269999998</v>
      </c>
      <c r="L17" s="16"/>
      <c r="M17" s="16"/>
    </row>
    <row r="18" spans="2:17" x14ac:dyDescent="0.25">
      <c r="B18" s="10">
        <f>B17+1</f>
        <v>9</v>
      </c>
      <c r="C18" s="5" t="s">
        <v>49</v>
      </c>
      <c r="D18" s="6" t="s">
        <v>48</v>
      </c>
      <c r="E18" s="12">
        <v>-5420503.7599999998</v>
      </c>
      <c r="F18" s="12">
        <v>-5973742.79</v>
      </c>
      <c r="G18" s="12">
        <v>-6529619.0800000001</v>
      </c>
      <c r="H18" s="12">
        <v>-7087795.5099999998</v>
      </c>
      <c r="I18" s="12">
        <v>-7646079.8400000008</v>
      </c>
      <c r="J18" s="12">
        <v>-8202250.0200000005</v>
      </c>
      <c r="K18" s="12">
        <v>-8758535.2800000012</v>
      </c>
      <c r="L18" s="16"/>
      <c r="M18" s="16"/>
    </row>
    <row r="19" spans="2:17" x14ac:dyDescent="0.25">
      <c r="B19" s="10">
        <f t="shared" ref="B19:B23" si="3">B18+1</f>
        <v>10</v>
      </c>
      <c r="C19" s="5" t="s">
        <v>50</v>
      </c>
      <c r="D19" s="6" t="s">
        <v>48</v>
      </c>
      <c r="E19" s="12">
        <v>0</v>
      </c>
      <c r="F19" s="12">
        <v>-300683.06000000006</v>
      </c>
      <c r="G19" s="12">
        <v>-993823.55999999994</v>
      </c>
      <c r="H19" s="12">
        <v>-1657752.28</v>
      </c>
      <c r="I19" s="12">
        <v>-2323550.13</v>
      </c>
      <c r="J19" s="12">
        <v>-2989775.6999999997</v>
      </c>
      <c r="K19" s="12">
        <v>-3658585.86</v>
      </c>
      <c r="L19" s="16"/>
      <c r="M19" s="16"/>
    </row>
    <row r="20" spans="2:17" x14ac:dyDescent="0.25">
      <c r="B20" s="10">
        <f t="shared" si="3"/>
        <v>11</v>
      </c>
      <c r="C20" s="5" t="s">
        <v>51</v>
      </c>
      <c r="D20" s="6" t="s">
        <v>48</v>
      </c>
      <c r="E20" s="12">
        <v>0</v>
      </c>
      <c r="F20" s="12">
        <v>0</v>
      </c>
      <c r="G20" s="12">
        <v>-4357.95</v>
      </c>
      <c r="H20" s="12">
        <v>-339464.82</v>
      </c>
      <c r="I20" s="12">
        <v>-1009661.07</v>
      </c>
      <c r="J20" s="12">
        <v>-1680810.4999999998</v>
      </c>
      <c r="K20" s="12">
        <v>-2352461.8600000003</v>
      </c>
      <c r="L20" s="16"/>
      <c r="M20" s="16"/>
    </row>
    <row r="21" spans="2:17" x14ac:dyDescent="0.25">
      <c r="B21" s="10">
        <f t="shared" si="3"/>
        <v>12</v>
      </c>
      <c r="C21" s="5" t="s">
        <v>52</v>
      </c>
      <c r="D21" s="6" t="s">
        <v>48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6"/>
      <c r="M21" s="16"/>
    </row>
    <row r="22" spans="2:17" x14ac:dyDescent="0.25">
      <c r="B22" s="10">
        <f t="shared" si="3"/>
        <v>13</v>
      </c>
      <c r="C22" s="5" t="s">
        <v>53</v>
      </c>
      <c r="D22" s="6" t="s">
        <v>48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x14ac:dyDescent="0.25">
      <c r="B23" s="10">
        <f t="shared" si="3"/>
        <v>14</v>
      </c>
      <c r="C23" s="5" t="s">
        <v>57</v>
      </c>
      <c r="D23" s="6" t="s">
        <v>58</v>
      </c>
      <c r="E23" s="13">
        <f>SUM(E17:E22)</f>
        <v>-14615000.299999997</v>
      </c>
      <c r="F23" s="13">
        <f t="shared" ref="F23" si="4">SUM(F17:F22)</f>
        <v>-16444397.9</v>
      </c>
      <c r="G23" s="13">
        <f t="shared" ref="G23" si="5">SUM(G17:G22)</f>
        <v>-18680334.599999998</v>
      </c>
      <c r="H23" s="13">
        <f t="shared" ref="H23:Q23" si="6">SUM(H17:H22)</f>
        <v>-21218761.260000002</v>
      </c>
      <c r="I23" s="13">
        <f t="shared" ref="I23" si="7">SUM(I17:I22)</f>
        <v>-24095242.66</v>
      </c>
      <c r="J23" s="13">
        <f t="shared" si="6"/>
        <v>-26971920.300000001</v>
      </c>
      <c r="K23" s="13">
        <f t="shared" si="6"/>
        <v>-29852048.269999996</v>
      </c>
      <c r="L23" s="13">
        <f t="shared" si="6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13">
        <f t="shared" si="6"/>
        <v>0</v>
      </c>
    </row>
    <row r="24" spans="2:17" x14ac:dyDescent="0.25">
      <c r="E24" s="12"/>
      <c r="F24" s="12"/>
      <c r="G24" s="12"/>
      <c r="H24" s="12"/>
    </row>
    <row r="25" spans="2:17" x14ac:dyDescent="0.25">
      <c r="C25" s="5" t="s">
        <v>59</v>
      </c>
      <c r="F25" s="15"/>
      <c r="G25" s="15"/>
      <c r="H25" s="15"/>
      <c r="I25" s="15"/>
    </row>
    <row r="26" spans="2:17" x14ac:dyDescent="0.25">
      <c r="B26" s="10">
        <f>B23+1</f>
        <v>15</v>
      </c>
      <c r="C26" s="5" t="s">
        <v>47</v>
      </c>
      <c r="D26" s="6" t="s">
        <v>48</v>
      </c>
      <c r="E26" s="11">
        <v>-6845807.5251444904</v>
      </c>
      <c r="F26" s="11">
        <f t="shared" ref="F26:F30" si="8">+E26+((H26-E26)/3)</f>
        <v>-8104931.5771296602</v>
      </c>
      <c r="G26" s="11">
        <f t="shared" ref="G26:G30" si="9">+F26+((H26-E26)/3)</f>
        <v>-9364055.629114829</v>
      </c>
      <c r="H26" s="11">
        <v>-10623179.6811</v>
      </c>
      <c r="I26" s="11">
        <f t="shared" ref="I26:I29" si="10">+H26+((K26-H26)/3)</f>
        <v>-11881539.982075345</v>
      </c>
      <c r="J26" s="11">
        <f t="shared" ref="J26:J29" si="11">+I26+((K26-H26)/3)</f>
        <v>-13139900.28305069</v>
      </c>
      <c r="K26" s="11">
        <v>-14398260.584026033</v>
      </c>
    </row>
    <row r="27" spans="2:17" x14ac:dyDescent="0.25">
      <c r="B27" s="10">
        <f>B26+1</f>
        <v>16</v>
      </c>
      <c r="C27" s="5" t="s">
        <v>49</v>
      </c>
      <c r="D27" s="6" t="s">
        <v>48</v>
      </c>
      <c r="E27" s="12">
        <v>-3913082.9384492165</v>
      </c>
      <c r="F27" s="12">
        <f t="shared" si="8"/>
        <v>-4639618.1829661448</v>
      </c>
      <c r="G27" s="12">
        <f t="shared" si="9"/>
        <v>-5366153.4274830725</v>
      </c>
      <c r="H27" s="12">
        <v>-6092688.6720000003</v>
      </c>
      <c r="I27" s="12">
        <f t="shared" si="10"/>
        <v>-6786548.704653943</v>
      </c>
      <c r="J27" s="12">
        <f t="shared" si="11"/>
        <v>-7480408.7373078857</v>
      </c>
      <c r="K27" s="12">
        <v>-8174268.7699618274</v>
      </c>
    </row>
    <row r="28" spans="2:17" x14ac:dyDescent="0.25">
      <c r="B28" s="10">
        <f t="shared" ref="B28:B32" si="12">B27+1</f>
        <v>17</v>
      </c>
      <c r="C28" s="5" t="s">
        <v>50</v>
      </c>
      <c r="D28" s="6" t="s">
        <v>48</v>
      </c>
      <c r="E28" s="12">
        <v>-2136.3581922899998</v>
      </c>
      <c r="F28" s="12">
        <f t="shared" si="8"/>
        <v>-329281.41039485997</v>
      </c>
      <c r="G28" s="12">
        <f t="shared" si="9"/>
        <v>-656426.46259742999</v>
      </c>
      <c r="H28" s="12">
        <v>-983571.51479999989</v>
      </c>
      <c r="I28" s="12">
        <f t="shared" si="10"/>
        <v>-1329978.2396874048</v>
      </c>
      <c r="J28" s="12">
        <f t="shared" si="11"/>
        <v>-1676384.9645748099</v>
      </c>
      <c r="K28" s="12">
        <v>-2022791.6894622149</v>
      </c>
    </row>
    <row r="29" spans="2:17" x14ac:dyDescent="0.25">
      <c r="B29" s="10">
        <f t="shared" si="12"/>
        <v>18</v>
      </c>
      <c r="C29" s="5" t="s">
        <v>51</v>
      </c>
      <c r="D29" s="6" t="s">
        <v>48</v>
      </c>
      <c r="E29" s="12">
        <v>-1222.11693429</v>
      </c>
      <c r="F29" s="12">
        <f t="shared" si="8"/>
        <v>-386079.65262285998</v>
      </c>
      <c r="G29" s="12">
        <f t="shared" si="9"/>
        <v>-770937.18831142993</v>
      </c>
      <c r="H29" s="12">
        <v>-1155794.7239999999</v>
      </c>
      <c r="I29" s="12">
        <f t="shared" si="10"/>
        <v>-1556029.2202820398</v>
      </c>
      <c r="J29" s="12">
        <f t="shared" si="11"/>
        <v>-1956263.7165640797</v>
      </c>
      <c r="K29" s="12">
        <v>-2356498.2128461194</v>
      </c>
    </row>
    <row r="30" spans="2:17" x14ac:dyDescent="0.25">
      <c r="B30" s="10">
        <f t="shared" si="12"/>
        <v>19</v>
      </c>
      <c r="C30" s="5" t="s">
        <v>52</v>
      </c>
      <c r="D30" s="6" t="s">
        <v>48</v>
      </c>
      <c r="E30" s="12">
        <v>-3509.2917299999999</v>
      </c>
      <c r="F30" s="12">
        <f t="shared" si="8"/>
        <v>-373126.17342000001</v>
      </c>
      <c r="G30" s="12">
        <f t="shared" si="9"/>
        <v>-742743.05511000007</v>
      </c>
      <c r="H30" s="12">
        <v>-1112359.9368</v>
      </c>
      <c r="I30" s="12">
        <f>+H30+((K30-H30)/3)</f>
        <v>-1484316.3464312772</v>
      </c>
      <c r="J30" s="12">
        <f>+I30+((K30-H30)/3)</f>
        <v>-1856272.7560625544</v>
      </c>
      <c r="K30" s="12">
        <v>-2228229.1656938316</v>
      </c>
    </row>
    <row r="31" spans="2:17" x14ac:dyDescent="0.25">
      <c r="B31" s="10">
        <f t="shared" si="12"/>
        <v>20</v>
      </c>
      <c r="C31" s="5" t="s">
        <v>53</v>
      </c>
      <c r="D31" s="6" t="s">
        <v>48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x14ac:dyDescent="0.25">
      <c r="B32" s="10">
        <f t="shared" si="12"/>
        <v>21</v>
      </c>
      <c r="C32" s="5" t="s">
        <v>60</v>
      </c>
      <c r="D32" s="6" t="s">
        <v>61</v>
      </c>
      <c r="E32" s="13">
        <f t="shared" ref="E32" si="13">SUM(E26:E31)</f>
        <v>-10765758.230450286</v>
      </c>
      <c r="F32" s="13">
        <f t="shared" ref="F32" si="14">SUM(F26:F31)</f>
        <v>-13833036.996533526</v>
      </c>
      <c r="G32" s="13">
        <f t="shared" ref="G32:I32" si="15">SUM(G26:G31)</f>
        <v>-16900315.762616761</v>
      </c>
      <c r="H32" s="13">
        <f t="shared" si="15"/>
        <v>-19967594.528699998</v>
      </c>
      <c r="I32" s="13">
        <f t="shared" si="15"/>
        <v>-23038412.493130013</v>
      </c>
      <c r="J32" s="13">
        <f t="shared" ref="J32" si="16">SUM(J26:J31)</f>
        <v>-26109230.457560021</v>
      </c>
      <c r="K32" s="13">
        <f t="shared" ref="K32:Q32" si="17">SUM(K26:K31)</f>
        <v>-29180048.421990026</v>
      </c>
      <c r="L32" s="13">
        <f t="shared" si="17"/>
        <v>0</v>
      </c>
      <c r="M32" s="13">
        <f t="shared" si="17"/>
        <v>0</v>
      </c>
      <c r="N32" s="13">
        <f t="shared" si="17"/>
        <v>0</v>
      </c>
      <c r="O32" s="13">
        <f t="shared" si="17"/>
        <v>0</v>
      </c>
      <c r="P32" s="13">
        <f t="shared" si="17"/>
        <v>0</v>
      </c>
      <c r="Q32" s="13">
        <f t="shared" si="17"/>
        <v>0</v>
      </c>
    </row>
    <row r="33" spans="2:17" x14ac:dyDescent="0.25">
      <c r="E33" s="12"/>
      <c r="F33" s="12"/>
      <c r="G33" s="12"/>
      <c r="H33" s="12"/>
    </row>
    <row r="34" spans="2:17" x14ac:dyDescent="0.25">
      <c r="B34" s="10">
        <f>B32+1</f>
        <v>22</v>
      </c>
      <c r="C34" s="18" t="s">
        <v>62</v>
      </c>
      <c r="D34" s="6" t="s">
        <v>63</v>
      </c>
      <c r="E34" s="17">
        <f>SUM(E14,E23,E32)</f>
        <v>695425796.39954972</v>
      </c>
      <c r="F34" s="17">
        <f t="shared" ref="F34:Q34" si="18">SUM(F14,F23,F32)</f>
        <v>993282610.20346642</v>
      </c>
      <c r="G34" s="17">
        <f t="shared" si="18"/>
        <v>994028871.35738313</v>
      </c>
      <c r="H34" s="17">
        <f t="shared" si="18"/>
        <v>1311910235.0313001</v>
      </c>
      <c r="I34" s="17">
        <f t="shared" si="18"/>
        <v>1305481477.4368699</v>
      </c>
      <c r="J34" s="17">
        <f t="shared" si="18"/>
        <v>1300379102.26244</v>
      </c>
      <c r="K34" s="17">
        <f t="shared" si="18"/>
        <v>1297170340.5980098</v>
      </c>
      <c r="L34" s="17">
        <f t="shared" si="18"/>
        <v>0</v>
      </c>
      <c r="M34" s="17">
        <f t="shared" si="18"/>
        <v>0</v>
      </c>
      <c r="N34" s="17">
        <f t="shared" si="18"/>
        <v>0</v>
      </c>
      <c r="O34" s="17">
        <f t="shared" si="18"/>
        <v>0</v>
      </c>
      <c r="P34" s="17">
        <f t="shared" si="18"/>
        <v>0</v>
      </c>
      <c r="Q34" s="17">
        <f t="shared" si="18"/>
        <v>0</v>
      </c>
    </row>
    <row r="36" spans="2:17" x14ac:dyDescent="0.25">
      <c r="C36" s="5" t="s">
        <v>64</v>
      </c>
    </row>
    <row r="37" spans="2:17" x14ac:dyDescent="0.25">
      <c r="B37" s="10">
        <f>B34+1</f>
        <v>23</v>
      </c>
      <c r="C37" s="5" t="s">
        <v>47</v>
      </c>
      <c r="D37" s="6" t="s">
        <v>48</v>
      </c>
      <c r="E37" s="11">
        <v>9864897.6600000001</v>
      </c>
      <c r="F37" s="11">
        <v>9864897.6600000001</v>
      </c>
      <c r="G37" s="11">
        <v>10038479.48</v>
      </c>
      <c r="H37" s="11">
        <v>10038479.48</v>
      </c>
      <c r="I37" s="11">
        <v>10038479.48</v>
      </c>
      <c r="J37" s="11">
        <v>10038479.48</v>
      </c>
      <c r="K37" s="11">
        <v>10038479.48</v>
      </c>
    </row>
    <row r="38" spans="2:17" x14ac:dyDescent="0.25">
      <c r="B38" s="10">
        <f t="shared" ref="B38:B42" si="19">B37+1</f>
        <v>24</v>
      </c>
      <c r="C38" s="5" t="s">
        <v>49</v>
      </c>
      <c r="D38" s="6" t="s">
        <v>48</v>
      </c>
      <c r="E38" s="12">
        <v>13976737.93</v>
      </c>
      <c r="F38" s="12">
        <v>13976737.93</v>
      </c>
      <c r="G38" s="12">
        <v>13976737.93</v>
      </c>
      <c r="H38" s="12">
        <v>13976737.93</v>
      </c>
      <c r="I38" s="12">
        <v>13976737.93</v>
      </c>
      <c r="J38" s="12">
        <v>13976737.93</v>
      </c>
      <c r="K38" s="12">
        <v>13976737.93</v>
      </c>
    </row>
    <row r="39" spans="2:17" x14ac:dyDescent="0.25">
      <c r="B39" s="10">
        <f t="shared" si="19"/>
        <v>25</v>
      </c>
      <c r="C39" s="5" t="s">
        <v>50</v>
      </c>
      <c r="D39" s="6" t="s">
        <v>48</v>
      </c>
      <c r="E39" s="12">
        <v>0</v>
      </c>
      <c r="F39" s="12">
        <v>30029079.600000001</v>
      </c>
      <c r="G39" s="12">
        <v>30029079.600000001</v>
      </c>
      <c r="H39" s="12">
        <v>30029079.600000001</v>
      </c>
      <c r="I39" s="12">
        <v>30029079.600000001</v>
      </c>
      <c r="J39" s="12">
        <v>30029079.600000001</v>
      </c>
      <c r="K39" s="12">
        <v>30029079.600000001</v>
      </c>
    </row>
    <row r="40" spans="2:17" x14ac:dyDescent="0.25">
      <c r="B40" s="10">
        <f t="shared" si="19"/>
        <v>26</v>
      </c>
      <c r="C40" s="5" t="s">
        <v>51</v>
      </c>
      <c r="D40" s="6" t="s">
        <v>48</v>
      </c>
      <c r="E40" s="12">
        <v>0</v>
      </c>
      <c r="F40" s="12">
        <v>0</v>
      </c>
      <c r="G40" s="12">
        <v>0</v>
      </c>
      <c r="H40" s="12">
        <v>744090.46</v>
      </c>
      <c r="I40" s="12">
        <v>744090.46</v>
      </c>
      <c r="J40" s="12">
        <v>744090.46</v>
      </c>
      <c r="K40" s="12">
        <v>744090.46</v>
      </c>
    </row>
    <row r="41" spans="2:17" x14ac:dyDescent="0.25">
      <c r="B41" s="10">
        <f t="shared" si="19"/>
        <v>27</v>
      </c>
      <c r="C41" s="5" t="s">
        <v>52</v>
      </c>
      <c r="D41" s="6" t="s">
        <v>48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2:17" x14ac:dyDescent="0.25">
      <c r="B42" s="10">
        <f t="shared" si="19"/>
        <v>28</v>
      </c>
      <c r="C42" s="5" t="s">
        <v>65</v>
      </c>
      <c r="D42" s="6" t="s">
        <v>66</v>
      </c>
      <c r="E42" s="13">
        <f>SUM(E37:E41)</f>
        <v>23841635.59</v>
      </c>
      <c r="F42" s="13">
        <f>SUM(F37:F41)</f>
        <v>53870715.189999998</v>
      </c>
      <c r="G42" s="13">
        <f>SUM(G37:G41)</f>
        <v>54044297.010000005</v>
      </c>
      <c r="H42" s="13">
        <f>SUM(H37:H41)</f>
        <v>54788387.470000006</v>
      </c>
      <c r="I42" s="13">
        <f>SUM(I37:I41)</f>
        <v>54788387.470000006</v>
      </c>
      <c r="J42" s="13">
        <f t="shared" ref="J42:Q42" si="20">SUM(J37:J41)</f>
        <v>54788387.470000006</v>
      </c>
      <c r="K42" s="13">
        <f t="shared" si="20"/>
        <v>54788387.470000006</v>
      </c>
      <c r="L42" s="13">
        <f t="shared" si="20"/>
        <v>0</v>
      </c>
      <c r="M42" s="13">
        <f t="shared" si="20"/>
        <v>0</v>
      </c>
      <c r="N42" s="13">
        <f t="shared" si="20"/>
        <v>0</v>
      </c>
      <c r="O42" s="13">
        <f t="shared" si="20"/>
        <v>0</v>
      </c>
      <c r="P42" s="13">
        <f t="shared" si="20"/>
        <v>0</v>
      </c>
      <c r="Q42" s="13">
        <f t="shared" si="20"/>
        <v>0</v>
      </c>
    </row>
    <row r="43" spans="2:17" x14ac:dyDescent="0.25">
      <c r="E43" s="12"/>
      <c r="F43" s="12"/>
      <c r="G43" s="12"/>
      <c r="H43" s="12"/>
    </row>
    <row r="44" spans="2:17" x14ac:dyDescent="0.25">
      <c r="C44" s="5" t="s">
        <v>67</v>
      </c>
    </row>
    <row r="45" spans="2:17" x14ac:dyDescent="0.25">
      <c r="B45" s="10">
        <f>B42+1</f>
        <v>29</v>
      </c>
      <c r="C45" s="5" t="s">
        <v>47</v>
      </c>
      <c r="D45" s="6" t="s">
        <v>48</v>
      </c>
      <c r="E45" s="11">
        <v>-193507.29</v>
      </c>
      <c r="F45" s="11">
        <v>-214062.86000000002</v>
      </c>
      <c r="G45" s="11">
        <v>-234618.46</v>
      </c>
      <c r="H45" s="11">
        <v>-255174</v>
      </c>
      <c r="I45" s="11">
        <v>-275729.58</v>
      </c>
      <c r="J45" s="11">
        <v>-296285.11</v>
      </c>
      <c r="K45" s="11">
        <v>-316840.69</v>
      </c>
      <c r="L45" s="15"/>
      <c r="M45" s="15"/>
    </row>
    <row r="46" spans="2:17" x14ac:dyDescent="0.25">
      <c r="B46" s="10">
        <f t="shared" ref="B46:B50" si="21">B45+1</f>
        <v>30</v>
      </c>
      <c r="C46" s="5" t="s">
        <v>49</v>
      </c>
      <c r="D46" s="6" t="s">
        <v>48</v>
      </c>
      <c r="E46" s="12">
        <v>-269809.43</v>
      </c>
      <c r="F46" s="12">
        <v>-298555.52000000002</v>
      </c>
      <c r="G46" s="12">
        <v>-327301.66000000003</v>
      </c>
      <c r="H46" s="12">
        <v>-356047.71</v>
      </c>
      <c r="I46" s="12">
        <v>-384793.82</v>
      </c>
      <c r="J46" s="12">
        <v>-413539.86</v>
      </c>
      <c r="K46" s="12">
        <v>-442285.96</v>
      </c>
      <c r="L46" s="15"/>
      <c r="M46" s="15"/>
    </row>
    <row r="47" spans="2:17" x14ac:dyDescent="0.25">
      <c r="B47" s="10">
        <f t="shared" si="21"/>
        <v>31</v>
      </c>
      <c r="C47" s="5" t="s">
        <v>50</v>
      </c>
      <c r="D47" s="6" t="s">
        <v>48</v>
      </c>
      <c r="E47" s="12">
        <v>0</v>
      </c>
      <c r="F47" s="12">
        <v>-31280.240000000002</v>
      </c>
      <c r="G47" s="12">
        <v>-93840.95</v>
      </c>
      <c r="H47" s="12">
        <v>-156401.41</v>
      </c>
      <c r="I47" s="12">
        <v>-218961.97</v>
      </c>
      <c r="J47" s="12">
        <v>-281522.68</v>
      </c>
      <c r="K47" s="12">
        <v>-344083.28</v>
      </c>
      <c r="L47" s="15"/>
      <c r="M47" s="15"/>
    </row>
    <row r="48" spans="2:17" x14ac:dyDescent="0.25">
      <c r="B48" s="10">
        <f t="shared" si="21"/>
        <v>32</v>
      </c>
      <c r="C48" s="5" t="s">
        <v>51</v>
      </c>
      <c r="D48" s="6" t="s">
        <v>48</v>
      </c>
      <c r="E48" s="12">
        <v>0</v>
      </c>
      <c r="F48" s="12">
        <v>0</v>
      </c>
      <c r="G48" s="12">
        <v>0</v>
      </c>
      <c r="H48" s="12">
        <v>-1240.1500000000001</v>
      </c>
      <c r="I48" s="12">
        <v>-2789.37</v>
      </c>
      <c r="J48" s="12">
        <v>-4338.59</v>
      </c>
      <c r="K48" s="12">
        <v>-5887.81</v>
      </c>
      <c r="L48" s="15"/>
      <c r="M48" s="15"/>
    </row>
    <row r="49" spans="2:17" x14ac:dyDescent="0.25">
      <c r="B49" s="10">
        <f t="shared" si="21"/>
        <v>33</v>
      </c>
      <c r="C49" s="5" t="s">
        <v>52</v>
      </c>
      <c r="D49" s="6" t="s">
        <v>48</v>
      </c>
      <c r="E49" s="12">
        <v>0</v>
      </c>
      <c r="F49" s="12">
        <v>0</v>
      </c>
      <c r="G49" s="12">
        <v>0</v>
      </c>
      <c r="H49" s="12">
        <v>0</v>
      </c>
      <c r="I49" s="12">
        <f>0</f>
        <v>0</v>
      </c>
      <c r="J49" s="12">
        <v>0</v>
      </c>
      <c r="K49" s="12">
        <v>0</v>
      </c>
      <c r="L49" s="15"/>
      <c r="M49" s="15"/>
    </row>
    <row r="50" spans="2:17" x14ac:dyDescent="0.25">
      <c r="B50" s="10">
        <f t="shared" si="21"/>
        <v>34</v>
      </c>
      <c r="C50" s="5" t="s">
        <v>68</v>
      </c>
      <c r="D50" s="6" t="s">
        <v>69</v>
      </c>
      <c r="E50" s="13">
        <f>SUM(E45:E49)</f>
        <v>-463316.72</v>
      </c>
      <c r="F50" s="13">
        <f>SUM(F45:F49)</f>
        <v>-543898.62</v>
      </c>
      <c r="G50" s="13">
        <f>SUM(G45:G49)</f>
        <v>-655761.06999999995</v>
      </c>
      <c r="H50" s="13">
        <f>SUM(H45:H49)</f>
        <v>-768863.27</v>
      </c>
      <c r="I50" s="13">
        <f>SUM(I45:I49)</f>
        <v>-882274.74</v>
      </c>
      <c r="J50" s="13">
        <f t="shared" ref="J50:Q50" si="22">SUM(J45:J49)</f>
        <v>-995686.23999999987</v>
      </c>
      <c r="K50" s="13">
        <f t="shared" si="22"/>
        <v>-1109097.7400000002</v>
      </c>
      <c r="L50" s="13">
        <f t="shared" si="22"/>
        <v>0</v>
      </c>
      <c r="M50" s="13">
        <f t="shared" si="22"/>
        <v>0</v>
      </c>
      <c r="N50" s="13">
        <f t="shared" si="22"/>
        <v>0</v>
      </c>
      <c r="O50" s="13">
        <f t="shared" si="22"/>
        <v>0</v>
      </c>
      <c r="P50" s="13">
        <f t="shared" si="22"/>
        <v>0</v>
      </c>
      <c r="Q50" s="13">
        <f t="shared" si="22"/>
        <v>0</v>
      </c>
    </row>
    <row r="51" spans="2:17" x14ac:dyDescent="0.25">
      <c r="E51" s="12"/>
      <c r="F51" s="12"/>
      <c r="G51" s="12"/>
      <c r="H51" s="12"/>
    </row>
    <row r="52" spans="2:17" x14ac:dyDescent="0.25">
      <c r="C52" s="5" t="s">
        <v>70</v>
      </c>
    </row>
    <row r="53" spans="2:17" x14ac:dyDescent="0.25">
      <c r="B53" s="10">
        <f>B50+1</f>
        <v>35</v>
      </c>
      <c r="C53" s="5" t="s">
        <v>47</v>
      </c>
      <c r="D53" s="6" t="s">
        <v>48</v>
      </c>
      <c r="E53" s="11">
        <v>-11154.181815000002</v>
      </c>
      <c r="F53" s="11">
        <f>+E53+((H53-E53)/3)</f>
        <v>-15469.297567500005</v>
      </c>
      <c r="G53" s="11">
        <f>+F53+((H53-E53)/3)</f>
        <v>-19784.413320000007</v>
      </c>
      <c r="H53" s="11">
        <v>-24099.529072500009</v>
      </c>
      <c r="I53" s="11">
        <f>+H53+((K53-H53)/3)</f>
        <v>-28566.52751750001</v>
      </c>
      <c r="J53" s="11">
        <f>+I53+((K53-H53)/3)</f>
        <v>-33033.525962500011</v>
      </c>
      <c r="K53" s="11">
        <v>-37500.524407500008</v>
      </c>
    </row>
    <row r="54" spans="2:17" x14ac:dyDescent="0.25">
      <c r="B54" s="10">
        <f>B53+1</f>
        <v>36</v>
      </c>
      <c r="C54" s="5" t="s">
        <v>49</v>
      </c>
      <c r="D54" s="6" t="s">
        <v>48</v>
      </c>
      <c r="E54" s="12">
        <v>-16822.893832500005</v>
      </c>
      <c r="F54" s="12">
        <f>+E54+((H54-E54)/3)</f>
        <v>-23015.859921250008</v>
      </c>
      <c r="G54" s="12">
        <f>+F54+((H54-E54)/3)</f>
        <v>-29208.826010000012</v>
      </c>
      <c r="H54" s="12">
        <v>-35401.792098750011</v>
      </c>
      <c r="I54" s="12">
        <f>+H54+((K54-H54)/3)</f>
        <v>-41594.757837500008</v>
      </c>
      <c r="J54" s="12">
        <f>+I54+((K54-H54)/3)</f>
        <v>-47787.723576250006</v>
      </c>
      <c r="K54" s="12">
        <v>-53980.689315000003</v>
      </c>
    </row>
    <row r="55" spans="2:17" x14ac:dyDescent="0.25">
      <c r="B55" s="10">
        <f t="shared" ref="B55:B58" si="23">B54+1</f>
        <v>37</v>
      </c>
      <c r="C55" s="5" t="s">
        <v>50</v>
      </c>
      <c r="D55" s="6" t="s">
        <v>48</v>
      </c>
      <c r="E55" s="12">
        <v>0</v>
      </c>
      <c r="F55" s="12">
        <f>+E55+((H55-E55)/3)</f>
        <v>0</v>
      </c>
      <c r="G55" s="12">
        <f>+F55+((H55-E55)/3)</f>
        <v>0</v>
      </c>
      <c r="H55" s="12">
        <v>0</v>
      </c>
      <c r="I55" s="12">
        <f>+H55+((K55-H55)/3)</f>
        <v>-1094.8038500000118</v>
      </c>
      <c r="J55" s="12">
        <f>+I55+((K55-H55)/3)</f>
        <v>-2189.6077000000237</v>
      </c>
      <c r="K55" s="12">
        <v>-3284.4115500000353</v>
      </c>
    </row>
    <row r="56" spans="2:17" x14ac:dyDescent="0.25">
      <c r="B56" s="10">
        <f t="shared" si="23"/>
        <v>38</v>
      </c>
      <c r="C56" s="5" t="s">
        <v>51</v>
      </c>
      <c r="D56" s="6" t="s">
        <v>48</v>
      </c>
      <c r="E56" s="12">
        <v>0</v>
      </c>
      <c r="F56" s="12">
        <f>+E56+((H56-E56)/3)</f>
        <v>108.51292374999998</v>
      </c>
      <c r="G56" s="12">
        <f>+F56+((H56-E56)/3)</f>
        <v>217.02584749999997</v>
      </c>
      <c r="H56" s="12">
        <v>325.53877124999997</v>
      </c>
      <c r="I56" s="12">
        <f>+H56+((K56-H56)/3)</f>
        <v>97.356245000000058</v>
      </c>
      <c r="J56" s="12">
        <f>+I56+((K56-H56)/3)</f>
        <v>-130.82628124999985</v>
      </c>
      <c r="K56" s="12">
        <v>-359.00880749999976</v>
      </c>
    </row>
    <row r="57" spans="2:17" x14ac:dyDescent="0.25">
      <c r="B57" s="10">
        <f t="shared" si="23"/>
        <v>39</v>
      </c>
      <c r="C57" s="5" t="s">
        <v>52</v>
      </c>
      <c r="D57" s="6" t="s">
        <v>48</v>
      </c>
      <c r="E57" s="12">
        <v>0</v>
      </c>
      <c r="F57" s="12">
        <f>+E57+((H57-E57)/3)</f>
        <v>0</v>
      </c>
      <c r="G57" s="12">
        <f>+F57+((H57-E57)/3)</f>
        <v>0</v>
      </c>
      <c r="H57" s="12">
        <v>0</v>
      </c>
      <c r="I57" s="12">
        <f>+H57+((K57-H57)/3)</f>
        <v>0</v>
      </c>
      <c r="J57" s="12">
        <f>+I57+((K57-H57)/3)</f>
        <v>0</v>
      </c>
      <c r="K57" s="12">
        <v>0</v>
      </c>
    </row>
    <row r="58" spans="2:17" x14ac:dyDescent="0.25">
      <c r="B58" s="10">
        <f t="shared" si="23"/>
        <v>40</v>
      </c>
      <c r="C58" s="5" t="s">
        <v>71</v>
      </c>
      <c r="D58" s="6" t="s">
        <v>72</v>
      </c>
      <c r="E58" s="13">
        <f t="shared" ref="E58:K58" si="24">SUM(E53:E57)</f>
        <v>-27977.075647500009</v>
      </c>
      <c r="F58" s="13">
        <f t="shared" si="24"/>
        <v>-38376.644565000017</v>
      </c>
      <c r="G58" s="13">
        <f t="shared" si="24"/>
        <v>-48776.213482500018</v>
      </c>
      <c r="H58" s="13">
        <f t="shared" si="24"/>
        <v>-59175.782400000018</v>
      </c>
      <c r="I58" s="13">
        <f t="shared" si="24"/>
        <v>-71158.732960000023</v>
      </c>
      <c r="J58" s="13">
        <f t="shared" si="24"/>
        <v>-83141.683520000035</v>
      </c>
      <c r="K58" s="13">
        <f t="shared" si="24"/>
        <v>-95124.634080000047</v>
      </c>
      <c r="L58" s="13">
        <f t="shared" ref="L58:Q58" si="25">SUM(L53:L57)</f>
        <v>0</v>
      </c>
      <c r="M58" s="13">
        <f t="shared" si="25"/>
        <v>0</v>
      </c>
      <c r="N58" s="13">
        <f t="shared" si="25"/>
        <v>0</v>
      </c>
      <c r="O58" s="13">
        <f t="shared" si="25"/>
        <v>0</v>
      </c>
      <c r="P58" s="13">
        <f t="shared" si="25"/>
        <v>0</v>
      </c>
      <c r="Q58" s="13">
        <f t="shared" si="25"/>
        <v>0</v>
      </c>
    </row>
    <row r="59" spans="2:17" x14ac:dyDescent="0.25">
      <c r="E59" s="12"/>
      <c r="F59" s="12"/>
      <c r="G59" s="12"/>
      <c r="H59" s="12"/>
    </row>
    <row r="60" spans="2:17" x14ac:dyDescent="0.3">
      <c r="B60" s="10">
        <f>B58+1</f>
        <v>41</v>
      </c>
      <c r="C60" s="18" t="s">
        <v>73</v>
      </c>
      <c r="D60" s="6" t="s">
        <v>74</v>
      </c>
      <c r="E60" s="17">
        <f>SUM(E42,E50,E58)</f>
        <v>23350341.794352502</v>
      </c>
      <c r="F60" s="17">
        <f t="shared" ref="F60:H60" si="26">SUM(F42,F50,F58)</f>
        <v>53288439.925434999</v>
      </c>
      <c r="G60" s="17">
        <f t="shared" si="26"/>
        <v>53339759.726517506</v>
      </c>
      <c r="H60" s="17">
        <f t="shared" si="26"/>
        <v>53960348.417600006</v>
      </c>
      <c r="I60" s="17">
        <f t="shared" ref="I60:Q60" si="27">SUM(I42,I50,I58)</f>
        <v>53834953.997040004</v>
      </c>
      <c r="J60" s="17">
        <f t="shared" si="27"/>
        <v>53709559.546480007</v>
      </c>
      <c r="K60" s="17">
        <f t="shared" si="27"/>
        <v>53584165.095920004</v>
      </c>
      <c r="L60" s="17">
        <f t="shared" si="27"/>
        <v>0</v>
      </c>
      <c r="M60" s="17">
        <f t="shared" si="27"/>
        <v>0</v>
      </c>
      <c r="N60" s="17">
        <f t="shared" si="27"/>
        <v>0</v>
      </c>
      <c r="O60" s="17">
        <f t="shared" si="27"/>
        <v>0</v>
      </c>
      <c r="P60" s="17">
        <f t="shared" si="27"/>
        <v>0</v>
      </c>
      <c r="Q60" s="17">
        <f t="shared" si="27"/>
        <v>0</v>
      </c>
    </row>
    <row r="62" spans="2:17" x14ac:dyDescent="0.25">
      <c r="B62" s="10">
        <f>B60+1</f>
        <v>42</v>
      </c>
      <c r="C62" s="18" t="s">
        <v>75</v>
      </c>
      <c r="D62" s="6" t="s">
        <v>76</v>
      </c>
      <c r="E62" s="17">
        <v>29953943</v>
      </c>
      <c r="F62" s="17">
        <v>33702843</v>
      </c>
      <c r="G62" s="17">
        <v>39526393</v>
      </c>
      <c r="H62" s="17">
        <v>46029043</v>
      </c>
      <c r="I62" s="17">
        <v>53717410.625</v>
      </c>
      <c r="J62" s="17">
        <f>I62-'Sch. C - Cost of Service'!I16</f>
        <v>60329402.075000003</v>
      </c>
      <c r="K62" s="17">
        <f>J62-'Sch. C - Cost of Service'!J16</f>
        <v>66705455.900000006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2:17" x14ac:dyDescent="0.25">
      <c r="E63" s="12"/>
      <c r="F63" s="12"/>
      <c r="G63" s="12"/>
      <c r="H63" s="15"/>
      <c r="I63" s="15"/>
      <c r="J63" s="15"/>
    </row>
    <row r="64" spans="2:17" x14ac:dyDescent="0.25">
      <c r="C64" s="5" t="s">
        <v>77</v>
      </c>
      <c r="E64" s="12"/>
      <c r="F64" s="12"/>
      <c r="G64" s="12"/>
      <c r="H64" s="12"/>
    </row>
    <row r="65" spans="2:17" x14ac:dyDescent="0.25">
      <c r="B65" s="10">
        <f>B62+1</f>
        <v>43</v>
      </c>
      <c r="C65" s="5" t="s">
        <v>78</v>
      </c>
      <c r="D65" s="6" t="s">
        <v>79</v>
      </c>
      <c r="G65" s="11">
        <f>AVERAGE($E34:G34)</f>
        <v>894245759.32013309</v>
      </c>
      <c r="H65" s="11">
        <f>AVERAGE($E34:H34)</f>
        <v>998661878.2479248</v>
      </c>
      <c r="I65" s="11">
        <f>AVERAGE($E34:I34)</f>
        <v>1060025798.0857137</v>
      </c>
      <c r="J65" s="11">
        <f>AVERAGE($E34:J34)</f>
        <v>1100084682.1151681</v>
      </c>
      <c r="K65" s="11">
        <f>AVERAGE($E34:K34)</f>
        <v>1128239776.1841455</v>
      </c>
    </row>
    <row r="66" spans="2:17" x14ac:dyDescent="0.25">
      <c r="B66" s="10">
        <f t="shared" ref="B66:B68" si="28">B65+1</f>
        <v>44</v>
      </c>
      <c r="C66" s="5" t="s">
        <v>80</v>
      </c>
      <c r="D66" s="6" t="s">
        <v>81</v>
      </c>
      <c r="G66" s="56">
        <v>0.10155383998214744</v>
      </c>
      <c r="H66" s="56">
        <v>0.10155383998214744</v>
      </c>
      <c r="I66" s="56">
        <v>0.10155383998214744</v>
      </c>
      <c r="J66" s="56">
        <v>0.10155383998214744</v>
      </c>
      <c r="K66" s="56">
        <v>0.10155383998214744</v>
      </c>
      <c r="L66" s="56">
        <v>0.10155383998214744</v>
      </c>
      <c r="M66" s="56">
        <v>0.10155383998214744</v>
      </c>
      <c r="N66" s="56">
        <v>0.10155383998214744</v>
      </c>
      <c r="O66" s="56">
        <v>0.10155383998214744</v>
      </c>
      <c r="P66" s="56">
        <v>0.10155383998214744</v>
      </c>
      <c r="Q66" s="56">
        <v>0.10155383998214744</v>
      </c>
    </row>
    <row r="67" spans="2:17" x14ac:dyDescent="0.25">
      <c r="B67" s="10">
        <f t="shared" si="28"/>
        <v>45</v>
      </c>
      <c r="C67" s="5" t="s">
        <v>82</v>
      </c>
      <c r="D67" s="6" t="s">
        <v>83</v>
      </c>
      <c r="G67" s="56">
        <f>'WP 3 - 2020 Calendarization'!$F$10</f>
        <v>1.092896174863388E-2</v>
      </c>
      <c r="H67" s="56">
        <f>'WP 3 - 2020 Calendarization'!$F$11</f>
        <v>9.5628415300546443E-2</v>
      </c>
      <c r="I67" s="56">
        <f>'WP 3 - 2020 Calendarization'!$F$12</f>
        <v>0.17759562841530055</v>
      </c>
      <c r="J67" s="56">
        <f>'WP 3 - 2020 Calendarization'!$F$13</f>
        <v>0.26229508196721313</v>
      </c>
      <c r="K67" s="56">
        <f>'WP 3 - 2020 Calendarization'!$F$14</f>
        <v>0.34426229508196721</v>
      </c>
      <c r="L67" s="56">
        <f>'WP 3 - 2020 Calendarization'!$F$15</f>
        <v>0.42896174863387976</v>
      </c>
      <c r="M67" s="56">
        <f>'WP 3 - 2020 Calendarization'!$F$16</f>
        <v>0.51366120218579236</v>
      </c>
      <c r="N67" s="56">
        <f>'WP 3 - 2020 Calendarization'!$F$17</f>
        <v>0.59562841530054644</v>
      </c>
      <c r="O67" s="56">
        <f>'WP 3 - 2020 Calendarization'!$F$18</f>
        <v>0.68032786885245899</v>
      </c>
      <c r="P67" s="56">
        <f>'WP 3 - 2020 Calendarization'!$F$19</f>
        <v>0.76229508196721307</v>
      </c>
      <c r="Q67" s="56">
        <f>'WP 3 - 2020 Calendarization'!$F$20</f>
        <v>0.84699453551912574</v>
      </c>
    </row>
    <row r="68" spans="2:17" x14ac:dyDescent="0.25">
      <c r="B68" s="10">
        <f t="shared" si="28"/>
        <v>46</v>
      </c>
      <c r="C68" s="5" t="s">
        <v>84</v>
      </c>
      <c r="D68" s="10" t="s">
        <v>85</v>
      </c>
      <c r="E68" s="13">
        <f>E65*E66*E67</f>
        <v>0</v>
      </c>
      <c r="F68" s="13">
        <f t="shared" ref="F68:Q68" si="29">F65*F66*F67</f>
        <v>0</v>
      </c>
      <c r="G68" s="13">
        <f t="shared" si="29"/>
        <v>992503.72400776763</v>
      </c>
      <c r="H68" s="13">
        <f t="shared" si="29"/>
        <v>9698437.7057243716</v>
      </c>
      <c r="I68" s="13">
        <f t="shared" si="29"/>
        <v>19118114.393233351</v>
      </c>
      <c r="J68" s="13">
        <f t="shared" si="29"/>
        <v>29303035.744087953</v>
      </c>
      <c r="K68" s="13">
        <f t="shared" si="29"/>
        <v>39444569.107115895</v>
      </c>
      <c r="L68" s="13">
        <f t="shared" si="29"/>
        <v>0</v>
      </c>
      <c r="M68" s="13">
        <f t="shared" si="29"/>
        <v>0</v>
      </c>
      <c r="N68" s="13">
        <f t="shared" si="29"/>
        <v>0</v>
      </c>
      <c r="O68" s="13">
        <f t="shared" si="29"/>
        <v>0</v>
      </c>
      <c r="P68" s="13">
        <f t="shared" si="29"/>
        <v>0</v>
      </c>
      <c r="Q68" s="13">
        <f t="shared" si="29"/>
        <v>0</v>
      </c>
    </row>
    <row r="69" spans="2:17" x14ac:dyDescent="0.25">
      <c r="B69" s="10"/>
      <c r="E69" s="15"/>
      <c r="F69" s="15"/>
      <c r="G69" s="15"/>
      <c r="H69" s="15"/>
    </row>
    <row r="70" spans="2:17" x14ac:dyDescent="0.25">
      <c r="B70" s="10">
        <f>B68+1</f>
        <v>47</v>
      </c>
      <c r="C70" s="5" t="s">
        <v>86</v>
      </c>
      <c r="D70" s="6" t="s">
        <v>79</v>
      </c>
      <c r="G70" s="11">
        <f>AVERAGE($E60:G60)</f>
        <v>43326180.482101671</v>
      </c>
      <c r="H70" s="11">
        <f>AVERAGE($E60:H60)</f>
        <v>45984722.465976253</v>
      </c>
      <c r="I70" s="11">
        <f>AVERAGE($E60:I60)</f>
        <v>47554768.772189006</v>
      </c>
      <c r="J70" s="11">
        <f>AVERAGE($E60:J60)</f>
        <v>48580567.234570839</v>
      </c>
      <c r="K70" s="11">
        <f>AVERAGE($E60:K60)</f>
        <v>49295366.929049298</v>
      </c>
    </row>
    <row r="71" spans="2:17" x14ac:dyDescent="0.25">
      <c r="B71" s="10">
        <f t="shared" ref="B71:B73" si="30">B70+1</f>
        <v>48</v>
      </c>
      <c r="C71" s="5" t="s">
        <v>87</v>
      </c>
      <c r="D71" s="6" t="s">
        <v>81</v>
      </c>
      <c r="G71" s="27">
        <v>9.0688906023902865E-2</v>
      </c>
      <c r="H71" s="27">
        <v>9.0688906023902865E-2</v>
      </c>
      <c r="I71" s="27">
        <v>9.0688906023902865E-2</v>
      </c>
      <c r="J71" s="27">
        <v>9.0688906023902865E-2</v>
      </c>
      <c r="K71" s="27">
        <v>9.0688906023902865E-2</v>
      </c>
      <c r="L71" s="27">
        <v>9.0688906023902865E-2</v>
      </c>
      <c r="M71" s="27">
        <v>9.0688906023902865E-2</v>
      </c>
      <c r="N71" s="27">
        <v>9.0688906023902865E-2</v>
      </c>
      <c r="O71" s="27">
        <v>9.0688906023902865E-2</v>
      </c>
      <c r="P71" s="27">
        <v>9.0688906023902865E-2</v>
      </c>
      <c r="Q71" s="27">
        <v>9.0688906023902865E-2</v>
      </c>
    </row>
    <row r="72" spans="2:17" x14ac:dyDescent="0.25">
      <c r="B72" s="10">
        <f t="shared" si="30"/>
        <v>49</v>
      </c>
      <c r="C72" s="5" t="s">
        <v>82</v>
      </c>
      <c r="D72" s="6" t="s">
        <v>83</v>
      </c>
      <c r="G72" s="56">
        <f>'WP 3 - 2020 Calendarization'!$F$10</f>
        <v>1.092896174863388E-2</v>
      </c>
      <c r="H72" s="56">
        <f>'WP 3 - 2020 Calendarization'!$F$11</f>
        <v>9.5628415300546443E-2</v>
      </c>
      <c r="I72" s="56">
        <f>'WP 3 - 2020 Calendarization'!$F$12</f>
        <v>0.17759562841530055</v>
      </c>
      <c r="J72" s="56">
        <f>'WP 3 - 2020 Calendarization'!$F$13</f>
        <v>0.26229508196721313</v>
      </c>
      <c r="K72" s="56">
        <f>'WP 3 - 2020 Calendarization'!$F$14</f>
        <v>0.34426229508196721</v>
      </c>
      <c r="L72" s="56">
        <f>'WP 3 - 2020 Calendarization'!$F$15</f>
        <v>0.42896174863387976</v>
      </c>
      <c r="M72" s="56">
        <f>'WP 3 - 2020 Calendarization'!$F$16</f>
        <v>0.51366120218579236</v>
      </c>
      <c r="N72" s="56">
        <f>'WP 3 - 2020 Calendarization'!$F$17</f>
        <v>0.59562841530054644</v>
      </c>
      <c r="O72" s="56">
        <f>'WP 3 - 2020 Calendarization'!$F$18</f>
        <v>0.68032786885245899</v>
      </c>
      <c r="P72" s="56">
        <f>'WP 3 - 2020 Calendarization'!$F$19</f>
        <v>0.76229508196721307</v>
      </c>
      <c r="Q72" s="56">
        <f>'WP 3 - 2020 Calendarization'!$F$20</f>
        <v>0.84699453551912574</v>
      </c>
    </row>
    <row r="73" spans="2:17" x14ac:dyDescent="0.3">
      <c r="B73" s="10">
        <f t="shared" si="30"/>
        <v>50</v>
      </c>
      <c r="C73" s="5" t="s">
        <v>88</v>
      </c>
      <c r="D73" s="10" t="s">
        <v>89</v>
      </c>
      <c r="E73" s="13">
        <f>E70*E71*E72</f>
        <v>0</v>
      </c>
      <c r="F73" s="13">
        <f t="shared" ref="F73" si="31">F70*F71*F72</f>
        <v>0</v>
      </c>
      <c r="G73" s="13">
        <f t="shared" ref="G73" si="32">G70*G71*G72</f>
        <v>42942.119236240142</v>
      </c>
      <c r="H73" s="13">
        <f t="shared" ref="H73" si="33">H70*H71*H72</f>
        <v>398799.57950498944</v>
      </c>
      <c r="I73" s="13">
        <f t="shared" ref="I73" si="34">I70*I71*I72</f>
        <v>765914.88292627374</v>
      </c>
      <c r="J73" s="13">
        <f t="shared" ref="J73" si="35">J70*J71*J72</f>
        <v>1155598.2941702006</v>
      </c>
      <c r="K73" s="13">
        <f t="shared" ref="K73" si="36">K70*K71*K72</f>
        <v>1539039.358617862</v>
      </c>
      <c r="L73" s="13">
        <f t="shared" ref="L73" si="37">L70*L71*L72</f>
        <v>0</v>
      </c>
      <c r="M73" s="13">
        <f t="shared" ref="M73" si="38">M70*M71*M72</f>
        <v>0</v>
      </c>
      <c r="N73" s="13">
        <f t="shared" ref="N73" si="39">N70*N71*N72</f>
        <v>0</v>
      </c>
      <c r="O73" s="13">
        <f t="shared" ref="O73" si="40">O70*O71*O72</f>
        <v>0</v>
      </c>
      <c r="P73" s="13">
        <f t="shared" ref="P73" si="41">P70*P71*P72</f>
        <v>0</v>
      </c>
      <c r="Q73" s="13">
        <f t="shared" ref="Q73" si="42">Q70*Q71*Q72</f>
        <v>0</v>
      </c>
    </row>
    <row r="75" spans="2:17" x14ac:dyDescent="0.25">
      <c r="B75" s="10">
        <f>B73+1</f>
        <v>51</v>
      </c>
      <c r="C75" s="5" t="s">
        <v>90</v>
      </c>
      <c r="D75" s="6" t="s">
        <v>79</v>
      </c>
      <c r="G75" s="11">
        <f>AVERAGE($E62:G62)</f>
        <v>34394393</v>
      </c>
      <c r="H75" s="11">
        <f>AVERAGE($E62:H62)</f>
        <v>37303055.5</v>
      </c>
      <c r="I75" s="11">
        <f>AVERAGE($E62:I62)</f>
        <v>40585926.524999999</v>
      </c>
      <c r="J75" s="11">
        <f>AVERAGE($E62:J62)</f>
        <v>43876505.783333331</v>
      </c>
      <c r="K75" s="11">
        <f>AVERAGE($E62:K62)</f>
        <v>47137784.371428572</v>
      </c>
    </row>
    <row r="76" spans="2:17" x14ac:dyDescent="0.25">
      <c r="B76" s="10">
        <f t="shared" ref="B76:B78" si="43">B75+1</f>
        <v>52</v>
      </c>
      <c r="C76" s="5" t="s">
        <v>91</v>
      </c>
      <c r="D76" s="6" t="s">
        <v>81</v>
      </c>
      <c r="G76" s="27">
        <v>5.8094104149169157E-2</v>
      </c>
      <c r="H76" s="27">
        <v>5.8094104149169157E-2</v>
      </c>
      <c r="I76" s="27">
        <v>5.8094104149169157E-2</v>
      </c>
      <c r="J76" s="27">
        <v>5.8094104149169157E-2</v>
      </c>
      <c r="K76" s="27">
        <v>5.8094104149169157E-2</v>
      </c>
      <c r="L76" s="27">
        <v>5.8094104149169157E-2</v>
      </c>
      <c r="M76" s="27">
        <v>5.8094104149169157E-2</v>
      </c>
      <c r="N76" s="27">
        <v>5.8094104149169157E-2</v>
      </c>
      <c r="O76" s="27">
        <v>5.8094104149169157E-2</v>
      </c>
      <c r="P76" s="27">
        <v>5.8094104149169157E-2</v>
      </c>
      <c r="Q76" s="27">
        <v>5.8094104149169157E-2</v>
      </c>
    </row>
    <row r="77" spans="2:17" x14ac:dyDescent="0.25">
      <c r="B77" s="10">
        <f t="shared" si="43"/>
        <v>53</v>
      </c>
      <c r="C77" s="5" t="s">
        <v>82</v>
      </c>
      <c r="D77" s="6" t="s">
        <v>83</v>
      </c>
      <c r="G77" s="56">
        <f>'WP 3 - 2020 Calendarization'!$F$10</f>
        <v>1.092896174863388E-2</v>
      </c>
      <c r="H77" s="56">
        <f>'WP 3 - 2020 Calendarization'!$F$11</f>
        <v>9.5628415300546443E-2</v>
      </c>
      <c r="I77" s="56">
        <f>'WP 3 - 2020 Calendarization'!$F$12</f>
        <v>0.17759562841530055</v>
      </c>
      <c r="J77" s="56">
        <f>'WP 3 - 2020 Calendarization'!$F$13</f>
        <v>0.26229508196721313</v>
      </c>
      <c r="K77" s="56">
        <f>'WP 3 - 2020 Calendarization'!$F$14</f>
        <v>0.34426229508196721</v>
      </c>
      <c r="L77" s="56">
        <f>'WP 3 - 2020 Calendarization'!$F$15</f>
        <v>0.42896174863387976</v>
      </c>
      <c r="M77" s="56">
        <f>'WP 3 - 2020 Calendarization'!$F$16</f>
        <v>0.51366120218579236</v>
      </c>
      <c r="N77" s="56">
        <f>'WP 3 - 2020 Calendarization'!$F$17</f>
        <v>0.59562841530054644</v>
      </c>
      <c r="O77" s="56">
        <f>'WP 3 - 2020 Calendarization'!$F$18</f>
        <v>0.68032786885245899</v>
      </c>
      <c r="P77" s="56">
        <f>'WP 3 - 2020 Calendarization'!$F$19</f>
        <v>0.76229508196721307</v>
      </c>
      <c r="Q77" s="56">
        <f>'WP 3 - 2020 Calendarization'!$F$20</f>
        <v>0.84699453551912574</v>
      </c>
    </row>
    <row r="78" spans="2:17" x14ac:dyDescent="0.3">
      <c r="B78" s="10">
        <f t="shared" si="43"/>
        <v>54</v>
      </c>
      <c r="C78" s="5" t="s">
        <v>92</v>
      </c>
      <c r="D78" s="10" t="s">
        <v>93</v>
      </c>
      <c r="E78" s="13">
        <f>E75*E76*E77</f>
        <v>0</v>
      </c>
      <c r="F78" s="13">
        <f t="shared" ref="F78" si="44">F75*F76*F77</f>
        <v>0</v>
      </c>
      <c r="G78" s="13">
        <f t="shared" ref="G78" si="45">G75*G76*G77</f>
        <v>21837.283596606059</v>
      </c>
      <c r="H78" s="13">
        <f t="shared" ref="H78" si="46">H75*H76*H77</f>
        <v>207235.15217342431</v>
      </c>
      <c r="I78" s="13">
        <f t="shared" ref="I78" si="47">I75*I76*I77</f>
        <v>418735.51301831147</v>
      </c>
      <c r="J78" s="13">
        <f t="shared" ref="J78" si="48">J75*J76*J77</f>
        <v>668581.32371897425</v>
      </c>
      <c r="K78" s="13">
        <f>K75*K76*K77</f>
        <v>942737.28602183354</v>
      </c>
      <c r="L78" s="13">
        <f t="shared" ref="L78" si="49">L75*L76*L77</f>
        <v>0</v>
      </c>
      <c r="M78" s="13">
        <f t="shared" ref="M78" si="50">M75*M76*M77</f>
        <v>0</v>
      </c>
      <c r="N78" s="13">
        <f t="shared" ref="N78" si="51">N75*N76*N77</f>
        <v>0</v>
      </c>
      <c r="O78" s="13">
        <f t="shared" ref="O78" si="52">O75*O76*O77</f>
        <v>0</v>
      </c>
      <c r="P78" s="13">
        <f t="shared" ref="P78" si="53">P75*P76*P77</f>
        <v>0</v>
      </c>
      <c r="Q78" s="13">
        <f t="shared" ref="Q78" si="54">Q75*Q76*Q77</f>
        <v>0</v>
      </c>
    </row>
    <row r="80" spans="2:17" x14ac:dyDescent="0.3">
      <c r="B80" s="10">
        <f>B78+1</f>
        <v>55</v>
      </c>
      <c r="C80" s="18" t="s">
        <v>94</v>
      </c>
      <c r="D80" s="6" t="s">
        <v>95</v>
      </c>
      <c r="E80" s="17">
        <f>SUM(E68,E73,E78)</f>
        <v>0</v>
      </c>
      <c r="F80" s="17">
        <f t="shared" ref="F80:Q80" si="55">SUM(F68,F73,F78)</f>
        <v>0</v>
      </c>
      <c r="G80" s="17">
        <f>SUM(G68,G73,G78)</f>
        <v>1057283.1268406138</v>
      </c>
      <c r="H80" s="17">
        <f t="shared" si="55"/>
        <v>10304472.437402785</v>
      </c>
      <c r="I80" s="17">
        <f t="shared" si="55"/>
        <v>20302764.789177936</v>
      </c>
      <c r="J80" s="17">
        <f t="shared" si="55"/>
        <v>31127215.361977126</v>
      </c>
      <c r="K80" s="17">
        <f t="shared" si="55"/>
        <v>41926345.751755595</v>
      </c>
      <c r="L80" s="17">
        <f t="shared" si="55"/>
        <v>0</v>
      </c>
      <c r="M80" s="17">
        <f t="shared" si="55"/>
        <v>0</v>
      </c>
      <c r="N80" s="17">
        <f t="shared" si="55"/>
        <v>0</v>
      </c>
      <c r="O80" s="17">
        <f t="shared" si="55"/>
        <v>0</v>
      </c>
      <c r="P80" s="17">
        <f t="shared" si="55"/>
        <v>0</v>
      </c>
      <c r="Q80" s="17">
        <f t="shared" si="55"/>
        <v>0</v>
      </c>
    </row>
    <row r="82" spans="3:8" x14ac:dyDescent="0.25">
      <c r="C82" s="5" t="s">
        <v>41</v>
      </c>
      <c r="H82" s="15"/>
    </row>
    <row r="83" spans="3:8" x14ac:dyDescent="0.25">
      <c r="C83" s="54" t="s">
        <v>42</v>
      </c>
      <c r="H83" s="15"/>
    </row>
    <row r="84" spans="3:8" x14ac:dyDescent="0.25">
      <c r="C84" s="54" t="s">
        <v>96</v>
      </c>
      <c r="H84" s="15"/>
    </row>
    <row r="85" spans="3:8" x14ac:dyDescent="0.25">
      <c r="C85" s="54" t="s">
        <v>97</v>
      </c>
      <c r="H85" s="15"/>
    </row>
    <row r="86" spans="3:8" x14ac:dyDescent="0.25">
      <c r="C86" s="54" t="s">
        <v>98</v>
      </c>
      <c r="H86" s="15"/>
    </row>
    <row r="87" spans="3:8" x14ac:dyDescent="0.25">
      <c r="H87" s="15"/>
    </row>
  </sheetData>
  <protectedRanges>
    <protectedRange sqref="E4:G4 E5:K5" name="Range1"/>
  </protectedRanges>
  <pageMargins left="0.7" right="0.7" top="0.75" bottom="0.75" header="0.3" footer="0.3"/>
  <pageSetup scale="48" orientation="landscape" verticalDpi="0" r:id="rId1"/>
  <headerFooter scaleWithDoc="0" alignWithMargins="0">
    <oddFooter>&amp;R&amp;"Arial,Bold"&amp;10&amp;A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BC07-3F72-4C01-ADA7-2CB3908FCFE3}">
  <sheetPr>
    <pageSetUpPr fitToPage="1"/>
  </sheetPr>
  <dimension ref="B2:Q75"/>
  <sheetViews>
    <sheetView tabSelected="1" zoomScale="85" zoomScaleNormal="85" workbookViewId="0">
      <selection sqref="A1:XFD1"/>
    </sheetView>
  </sheetViews>
  <sheetFormatPr defaultColWidth="17.109375" defaultRowHeight="13.2" x14ac:dyDescent="0.25"/>
  <cols>
    <col min="1" max="1" customWidth="true" style="5" width="2.6640625" collapsed="false"/>
    <col min="2" max="2" customWidth="true" style="5" width="6.33203125" collapsed="false"/>
    <col min="3" max="3" customWidth="true" style="5" width="43.33203125" collapsed="false"/>
    <col min="4" max="4" customWidth="true" style="10" width="17.109375" collapsed="false"/>
    <col min="5" max="7" customWidth="true" style="5" width="18.109375" collapsed="false"/>
    <col min="8" max="16" style="5" width="17.109375" collapsed="false"/>
    <col min="17" max="17" customWidth="true" style="5" width="4.0" collapsed="false"/>
    <col min="18" max="16384" style="5" width="17.109375" collapsed="false"/>
  </cols>
  <sheetData>
    <row r="2" spans="2:17" x14ac:dyDescent="0.25">
      <c r="Q2" s="7"/>
    </row>
    <row r="3" spans="2:17" x14ac:dyDescent="0.25"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8"/>
    </row>
    <row r="4" spans="2:17" x14ac:dyDescent="0.25">
      <c r="B4" s="10" t="s">
        <v>12</v>
      </c>
      <c r="E4" s="4">
        <v>43861</v>
      </c>
      <c r="F4" s="4">
        <v>43890</v>
      </c>
      <c r="G4" s="4">
        <v>43921</v>
      </c>
      <c r="H4" s="4">
        <v>43951</v>
      </c>
      <c r="I4" s="4">
        <v>43982</v>
      </c>
      <c r="J4" s="4">
        <v>44012</v>
      </c>
      <c r="K4" s="4">
        <v>44043</v>
      </c>
      <c r="L4" s="4">
        <v>44074</v>
      </c>
      <c r="M4" s="4">
        <v>44104</v>
      </c>
      <c r="N4" s="4">
        <v>44135</v>
      </c>
      <c r="O4" s="4">
        <v>44165</v>
      </c>
      <c r="P4" s="4">
        <v>44196</v>
      </c>
      <c r="Q4" s="9"/>
    </row>
    <row r="5" spans="2:17" x14ac:dyDescent="0.25">
      <c r="B5" s="14" t="s">
        <v>14</v>
      </c>
      <c r="C5" s="55" t="s">
        <v>99</v>
      </c>
      <c r="E5" s="1" t="s">
        <v>16</v>
      </c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  <c r="L5" s="1"/>
      <c r="M5" s="1"/>
      <c r="N5" s="1"/>
      <c r="O5" s="1"/>
      <c r="P5" s="1"/>
      <c r="Q5" s="3"/>
    </row>
    <row r="6" spans="2:17" x14ac:dyDescent="0.25">
      <c r="Q6" s="7"/>
    </row>
    <row r="7" spans="2:17" x14ac:dyDescent="0.25">
      <c r="C7" s="5" t="s">
        <v>100</v>
      </c>
    </row>
    <row r="8" spans="2:17" x14ac:dyDescent="0.25">
      <c r="B8" s="10">
        <v>1</v>
      </c>
      <c r="C8" s="5" t="s">
        <v>47</v>
      </c>
      <c r="D8" s="10" t="s">
        <v>48</v>
      </c>
      <c r="E8" s="11"/>
      <c r="F8" s="12">
        <f>101160870/1000*(4/29)</f>
        <v>13953.223448275861</v>
      </c>
      <c r="G8" s="12">
        <f>110444487/1000</f>
        <v>110444.48699999999</v>
      </c>
      <c r="H8" s="12">
        <f>103235550/1000</f>
        <v>103235.55</v>
      </c>
      <c r="I8" s="12">
        <f>93160265/1000</f>
        <v>93160.264999999999</v>
      </c>
      <c r="J8" s="12">
        <f>64053183/1000</f>
        <v>64053.182999999997</v>
      </c>
      <c r="K8" s="12"/>
      <c r="L8" s="12"/>
      <c r="M8" s="12"/>
      <c r="N8" s="12"/>
      <c r="O8" s="12"/>
      <c r="P8" s="12"/>
    </row>
    <row r="9" spans="2:17" x14ac:dyDescent="0.25">
      <c r="B9" s="10">
        <f>B8+1</f>
        <v>2</v>
      </c>
      <c r="C9" s="5" t="s">
        <v>49</v>
      </c>
      <c r="D9" s="10" t="s">
        <v>48</v>
      </c>
      <c r="E9" s="12"/>
      <c r="F9" s="12">
        <f>56387771/1000*(4/29)</f>
        <v>7777.6235862068961</v>
      </c>
      <c r="G9" s="12">
        <f>61349459/1000</f>
        <v>61349.459000000003</v>
      </c>
      <c r="H9" s="12">
        <f>60319797/1000</f>
        <v>60319.796999999999</v>
      </c>
      <c r="I9" s="12">
        <f>41255012/1000</f>
        <v>41255.012000000002</v>
      </c>
      <c r="J9" s="12">
        <f>48814448/1000</f>
        <v>48814.447999999997</v>
      </c>
      <c r="K9" s="12"/>
      <c r="L9" s="12"/>
      <c r="M9" s="12"/>
      <c r="N9" s="12"/>
      <c r="O9" s="12"/>
      <c r="P9" s="12"/>
    </row>
    <row r="10" spans="2:17" x14ac:dyDescent="0.25">
      <c r="B10" s="10">
        <f t="shared" ref="B10:B13" si="0">B9+1</f>
        <v>3</v>
      </c>
      <c r="C10" s="5" t="s">
        <v>50</v>
      </c>
      <c r="D10" s="10" t="s">
        <v>48</v>
      </c>
      <c r="E10" s="12"/>
      <c r="F10" s="12">
        <f>75393850/1000*(4/29)</f>
        <v>10399.151724137932</v>
      </c>
      <c r="G10" s="12">
        <f>77095072/1000</f>
        <v>77095.072</v>
      </c>
      <c r="H10" s="12">
        <f>77184369/1000</f>
        <v>77184.369000000006</v>
      </c>
      <c r="I10" s="12">
        <f>66985613/1000</f>
        <v>66985.612999999998</v>
      </c>
      <c r="J10" s="12">
        <f>75362226/1000</f>
        <v>75362.225999999995</v>
      </c>
      <c r="K10" s="12"/>
      <c r="L10" s="12"/>
      <c r="M10" s="12"/>
      <c r="N10" s="12"/>
      <c r="O10" s="12"/>
      <c r="P10" s="12"/>
    </row>
    <row r="11" spans="2:17" x14ac:dyDescent="0.25">
      <c r="B11" s="10">
        <f t="shared" si="0"/>
        <v>4</v>
      </c>
      <c r="C11" s="5" t="s">
        <v>51</v>
      </c>
      <c r="D11" s="10" t="s">
        <v>48</v>
      </c>
      <c r="E11" s="12"/>
      <c r="F11" s="12">
        <v>0</v>
      </c>
      <c r="G11" s="12">
        <v>11217</v>
      </c>
      <c r="H11" s="12">
        <f>66794989/1000</f>
        <v>66794.989000000001</v>
      </c>
      <c r="I11" s="12">
        <f>63078768/1000</f>
        <v>63078.767999999996</v>
      </c>
      <c r="J11" s="12">
        <f>66812296/1000</f>
        <v>66812.296000000002</v>
      </c>
      <c r="K11" s="12"/>
      <c r="L11" s="12"/>
      <c r="M11" s="12"/>
      <c r="N11" s="12"/>
      <c r="O11" s="12"/>
      <c r="P11" s="12"/>
    </row>
    <row r="12" spans="2:17" x14ac:dyDescent="0.25">
      <c r="B12" s="10">
        <f t="shared" si="0"/>
        <v>5</v>
      </c>
      <c r="C12" s="5" t="s">
        <v>52</v>
      </c>
      <c r="D12" s="10" t="s">
        <v>48</v>
      </c>
      <c r="E12" s="12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/>
      <c r="L12" s="12"/>
      <c r="M12" s="12"/>
      <c r="N12" s="12"/>
      <c r="O12" s="12"/>
      <c r="P12" s="12"/>
    </row>
    <row r="13" spans="2:17" x14ac:dyDescent="0.25">
      <c r="B13" s="10">
        <f t="shared" si="0"/>
        <v>6</v>
      </c>
      <c r="C13" s="5" t="s">
        <v>101</v>
      </c>
      <c r="D13" s="6" t="s">
        <v>102</v>
      </c>
      <c r="E13" s="19">
        <f>SUM(E8:E12)</f>
        <v>0</v>
      </c>
      <c r="F13" s="19">
        <f>SUM(F8:F12)</f>
        <v>32129.998758620692</v>
      </c>
      <c r="G13" s="19">
        <f>SUM(G8:G12)</f>
        <v>260106.01799999998</v>
      </c>
      <c r="H13" s="19">
        <f t="shared" ref="H13:P13" si="1">SUM(H8:H12)</f>
        <v>307534.70500000002</v>
      </c>
      <c r="I13" s="19">
        <f t="shared" ref="I13" si="2">SUM(I8:I12)</f>
        <v>264479.658</v>
      </c>
      <c r="J13" s="19">
        <f t="shared" si="1"/>
        <v>255042.15299999999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</row>
    <row r="14" spans="2:17" x14ac:dyDescent="0.25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7" x14ac:dyDescent="0.25">
      <c r="B15" s="10">
        <f>B13+1</f>
        <v>7</v>
      </c>
      <c r="C15" s="5" t="s">
        <v>103</v>
      </c>
      <c r="D15" s="10" t="s">
        <v>76</v>
      </c>
      <c r="E15" s="20"/>
      <c r="F15" s="20">
        <v>-25</v>
      </c>
      <c r="G15" s="20">
        <v>-25</v>
      </c>
      <c r="H15" s="20">
        <v>-25</v>
      </c>
      <c r="I15" s="20">
        <v>-25</v>
      </c>
      <c r="J15" s="20">
        <v>-25</v>
      </c>
      <c r="K15" s="20"/>
      <c r="L15" s="20"/>
      <c r="M15" s="20"/>
      <c r="N15" s="20"/>
      <c r="O15" s="20"/>
      <c r="P15" s="20"/>
    </row>
    <row r="16" spans="2:17" x14ac:dyDescent="0.25">
      <c r="B16" s="10">
        <f t="shared" ref="B16:B19" si="3">B15+1</f>
        <v>8</v>
      </c>
      <c r="C16" s="5" t="s">
        <v>104</v>
      </c>
      <c r="D16" s="10" t="s">
        <v>105</v>
      </c>
      <c r="E16" s="19">
        <f>E13*E15</f>
        <v>0</v>
      </c>
      <c r="F16" s="19">
        <f>F13*F15</f>
        <v>-803249.96896551724</v>
      </c>
      <c r="G16" s="19">
        <f t="shared" ref="G16:P16" si="4">G13*G15</f>
        <v>-6502650.4499999993</v>
      </c>
      <c r="H16" s="19">
        <f t="shared" ref="H16:I16" si="5">H13*H15</f>
        <v>-7688367.625</v>
      </c>
      <c r="I16" s="19">
        <f t="shared" si="5"/>
        <v>-6611991.4500000002</v>
      </c>
      <c r="J16" s="19">
        <f t="shared" ref="J16" si="6">J13*J15</f>
        <v>-6376053.8250000002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</row>
    <row r="17" spans="2:16" x14ac:dyDescent="0.25">
      <c r="B17" s="10">
        <f t="shared" si="3"/>
        <v>9</v>
      </c>
      <c r="C17" s="5" t="s">
        <v>106</v>
      </c>
      <c r="D17" s="10" t="s">
        <v>107</v>
      </c>
      <c r="E17" s="20"/>
      <c r="F17" s="48">
        <f ca="1">'WP 4- Tax Rates'!$D$39</f>
        <v>0.95199513874822761</v>
      </c>
      <c r="G17" s="48">
        <f ca="1">'WP 4- Tax Rates'!$D$39</f>
        <v>0.95199513874822761</v>
      </c>
      <c r="H17" s="48">
        <f ca="1">'WP 4- Tax Rates'!$D$39</f>
        <v>0.95199513874822761</v>
      </c>
      <c r="I17" s="48">
        <f ca="1">'WP 4- Tax Rates'!$D$39</f>
        <v>0.95199513874822761</v>
      </c>
      <c r="J17" s="48">
        <f ca="1">'WP 4- Tax Rates'!$D$39</f>
        <v>0.95199513874822761</v>
      </c>
      <c r="K17" s="20"/>
      <c r="L17" s="20"/>
      <c r="M17" s="20"/>
      <c r="N17" s="20"/>
      <c r="O17" s="20"/>
      <c r="P17" s="20"/>
    </row>
    <row r="18" spans="2:16" x14ac:dyDescent="0.25">
      <c r="B18" s="10">
        <f t="shared" si="3"/>
        <v>10</v>
      </c>
      <c r="C18" s="5" t="s">
        <v>108</v>
      </c>
      <c r="D18" s="10" t="s">
        <v>107</v>
      </c>
      <c r="E18" s="20"/>
      <c r="F18" s="49">
        <f ca="1">'WP 4- Tax Rates'!$D$21</f>
        <v>1.4203107019562715</v>
      </c>
      <c r="G18" s="49">
        <f ca="1">'WP 4- Tax Rates'!$D$21</f>
        <v>1.4203107019562715</v>
      </c>
      <c r="H18" s="49">
        <f ca="1">'WP 4- Tax Rates'!$D$21</f>
        <v>1.4203107019562715</v>
      </c>
      <c r="I18" s="49">
        <f ca="1">'WP 4- Tax Rates'!$D$21</f>
        <v>1.4203107019562715</v>
      </c>
      <c r="J18" s="49">
        <f ca="1">'WP 4- Tax Rates'!$D$21</f>
        <v>1.4203107019562715</v>
      </c>
      <c r="K18" s="20"/>
      <c r="L18" s="20"/>
      <c r="M18" s="20"/>
      <c r="N18" s="20"/>
      <c r="O18" s="20"/>
      <c r="P18" s="20"/>
    </row>
    <row r="19" spans="2:16" x14ac:dyDescent="0.25">
      <c r="B19" s="10">
        <f t="shared" si="3"/>
        <v>11</v>
      </c>
      <c r="C19" s="5" t="s">
        <v>109</v>
      </c>
      <c r="D19" s="10" t="s">
        <v>110</v>
      </c>
      <c r="E19" s="21">
        <f t="shared" ref="E19:P19" si="7">E16*E17*E18</f>
        <v>0</v>
      </c>
      <c r="F19" s="21">
        <f t="shared" ca="1" si="7"/>
        <v>-1086097.4839292089</v>
      </c>
      <c r="G19" s="21">
        <f t="shared" ca="1" si="7"/>
        <v>-8792421.4945339449</v>
      </c>
      <c r="H19" s="21">
        <f t="shared" ref="H19:I19" ca="1" si="8">H16*H17*H18</f>
        <v>-10395663.934838895</v>
      </c>
      <c r="I19" s="21">
        <f t="shared" ca="1" si="8"/>
        <v>-8940264.6188147292</v>
      </c>
      <c r="J19" s="21">
        <f t="shared" ref="J19" ca="1" si="9">J16*J17*J18</f>
        <v>-8621246.5412830841</v>
      </c>
      <c r="K19" s="21">
        <f t="shared" si="7"/>
        <v>0</v>
      </c>
      <c r="L19" s="21">
        <f t="shared" si="7"/>
        <v>0</v>
      </c>
      <c r="M19" s="21">
        <f t="shared" si="7"/>
        <v>0</v>
      </c>
      <c r="N19" s="21">
        <f t="shared" si="7"/>
        <v>0</v>
      </c>
      <c r="O19" s="21">
        <f t="shared" si="7"/>
        <v>0</v>
      </c>
      <c r="P19" s="21">
        <f t="shared" si="7"/>
        <v>0</v>
      </c>
    </row>
    <row r="20" spans="2:16" x14ac:dyDescent="0.25">
      <c r="B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5">
      <c r="B21" s="10">
        <f>B19+1</f>
        <v>12</v>
      </c>
      <c r="C21" s="5" t="s">
        <v>111</v>
      </c>
      <c r="D21" s="10" t="s">
        <v>81</v>
      </c>
      <c r="E21" s="21">
        <v>0</v>
      </c>
      <c r="F21" s="21">
        <f>-29013.05*(4/29)</f>
        <v>-4001.7999999999997</v>
      </c>
      <c r="G21" s="21">
        <v>-31031.95</v>
      </c>
      <c r="H21" s="21">
        <v>-30013.5</v>
      </c>
      <c r="I21" s="21">
        <v>-31013.95</v>
      </c>
      <c r="J21" s="21">
        <v>-7775.7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x14ac:dyDescent="0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5">
      <c r="C23" s="5" t="s">
        <v>112</v>
      </c>
    </row>
    <row r="24" spans="2:16" x14ac:dyDescent="0.25">
      <c r="B24" s="10">
        <f>B21+1</f>
        <v>13</v>
      </c>
      <c r="C24" s="5" t="s">
        <v>47</v>
      </c>
      <c r="D24" s="10" t="s">
        <v>113</v>
      </c>
      <c r="E24" s="11"/>
      <c r="F24" s="11">
        <f>982561.96*(4/29)</f>
        <v>135525.78758620689</v>
      </c>
      <c r="G24" s="11">
        <v>981214.64</v>
      </c>
      <c r="H24" s="11">
        <v>982202.97</v>
      </c>
      <c r="I24" s="11">
        <v>983132.46</v>
      </c>
      <c r="J24" s="11">
        <v>983381.19000000006</v>
      </c>
      <c r="K24" s="11"/>
      <c r="L24" s="11"/>
      <c r="M24" s="11"/>
      <c r="N24" s="11"/>
      <c r="O24" s="11"/>
      <c r="P24" s="11"/>
    </row>
    <row r="25" spans="2:16" x14ac:dyDescent="0.25">
      <c r="B25" s="10">
        <f>B24+1</f>
        <v>14</v>
      </c>
      <c r="C25" s="5" t="s">
        <v>49</v>
      </c>
      <c r="D25" s="10" t="s">
        <v>113</v>
      </c>
      <c r="E25" s="12"/>
      <c r="F25" s="12">
        <f>555876.29*(4/29)</f>
        <v>76672.591724137936</v>
      </c>
      <c r="G25" s="12">
        <v>558176.43000000005</v>
      </c>
      <c r="H25" s="12">
        <v>558284.33000000007</v>
      </c>
      <c r="I25" s="12">
        <v>556170.17999999993</v>
      </c>
      <c r="J25" s="12">
        <v>556285.26</v>
      </c>
      <c r="K25" s="12"/>
      <c r="L25" s="12"/>
      <c r="M25" s="12"/>
      <c r="N25" s="12"/>
      <c r="O25" s="12"/>
      <c r="P25" s="12"/>
    </row>
    <row r="26" spans="2:16" x14ac:dyDescent="0.25">
      <c r="B26" s="10">
        <f t="shared" ref="B26:B30" si="10">B25+1</f>
        <v>15</v>
      </c>
      <c r="C26" s="5" t="s">
        <v>50</v>
      </c>
      <c r="D26" s="10" t="s">
        <v>113</v>
      </c>
      <c r="E26" s="12"/>
      <c r="F26" s="12">
        <f>674137.22*(4/29)</f>
        <v>92984.44413793103</v>
      </c>
      <c r="G26" s="12">
        <v>663928.72000000009</v>
      </c>
      <c r="H26" s="12">
        <v>665797.85000000009</v>
      </c>
      <c r="I26" s="12">
        <v>666225.56999999995</v>
      </c>
      <c r="J26" s="12">
        <v>668810.16</v>
      </c>
      <c r="K26" s="12"/>
      <c r="L26" s="12"/>
      <c r="M26" s="12"/>
      <c r="N26" s="12"/>
      <c r="O26" s="12"/>
      <c r="P26" s="12"/>
    </row>
    <row r="27" spans="2:16" x14ac:dyDescent="0.25">
      <c r="B27" s="10">
        <f t="shared" si="10"/>
        <v>16</v>
      </c>
      <c r="C27" s="5" t="s">
        <v>51</v>
      </c>
      <c r="D27" s="10" t="s">
        <v>113</v>
      </c>
      <c r="E27" s="12"/>
      <c r="F27" s="12">
        <f>617.99*(4/29)</f>
        <v>85.24</v>
      </c>
      <c r="G27" s="12">
        <v>335106.87000000005</v>
      </c>
      <c r="H27" s="12">
        <v>670196.25000000012</v>
      </c>
      <c r="I27" s="12">
        <v>671149.42999999993</v>
      </c>
      <c r="J27" s="12">
        <v>671651.36</v>
      </c>
      <c r="K27" s="12"/>
      <c r="L27" s="12"/>
      <c r="M27" s="12"/>
      <c r="N27" s="12"/>
      <c r="O27" s="12"/>
      <c r="P27" s="12"/>
    </row>
    <row r="28" spans="2:16" x14ac:dyDescent="0.25">
      <c r="B28" s="10">
        <f t="shared" si="10"/>
        <v>17</v>
      </c>
      <c r="C28" s="5" t="s">
        <v>52</v>
      </c>
      <c r="D28" s="10" t="s">
        <v>113</v>
      </c>
      <c r="E28" s="12"/>
      <c r="F28" s="12">
        <v>0</v>
      </c>
      <c r="G28" s="12">
        <v>0</v>
      </c>
      <c r="H28" s="12">
        <v>0</v>
      </c>
      <c r="I28" s="12">
        <f>0</f>
        <v>0</v>
      </c>
      <c r="J28" s="12">
        <f>0</f>
        <v>0</v>
      </c>
      <c r="K28" s="12"/>
      <c r="L28" s="12"/>
      <c r="M28" s="12"/>
      <c r="N28" s="12"/>
      <c r="O28" s="12"/>
      <c r="P28" s="12"/>
    </row>
    <row r="29" spans="2:16" x14ac:dyDescent="0.25">
      <c r="B29" s="10">
        <f t="shared" si="10"/>
        <v>18</v>
      </c>
      <c r="C29" s="5" t="s">
        <v>53</v>
      </c>
      <c r="D29" s="10" t="s">
        <v>113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5">
      <c r="B30" s="10">
        <f t="shared" si="10"/>
        <v>19</v>
      </c>
      <c r="C30" s="5" t="s">
        <v>114</v>
      </c>
      <c r="D30" s="6" t="s">
        <v>115</v>
      </c>
      <c r="E30" s="21">
        <f t="shared" ref="E30:G30" si="11">SUM(E24:E29)</f>
        <v>0</v>
      </c>
      <c r="F30" s="21">
        <f t="shared" si="11"/>
        <v>305268.06344827585</v>
      </c>
      <c r="G30" s="21">
        <f t="shared" si="11"/>
        <v>2538426.66</v>
      </c>
      <c r="H30" s="21">
        <f t="shared" ref="H30" si="12">SUM(H24:H29)</f>
        <v>2876481.4000000004</v>
      </c>
      <c r="I30" s="21">
        <f t="shared" ref="I30:P30" si="13">SUM(I24:I29)</f>
        <v>2876677.6399999997</v>
      </c>
      <c r="J30" s="21">
        <f t="shared" si="13"/>
        <v>2880127.97</v>
      </c>
      <c r="K30" s="21">
        <f t="shared" si="13"/>
        <v>0</v>
      </c>
      <c r="L30" s="21">
        <f t="shared" si="13"/>
        <v>0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21">
        <f t="shared" si="13"/>
        <v>0</v>
      </c>
    </row>
    <row r="31" spans="2:16" x14ac:dyDescent="0.25"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x14ac:dyDescent="0.25">
      <c r="C32" s="5" t="s">
        <v>116</v>
      </c>
    </row>
    <row r="33" spans="2:16" x14ac:dyDescent="0.25">
      <c r="B33" s="10">
        <f>B30+1</f>
        <v>20</v>
      </c>
      <c r="C33" s="5" t="s">
        <v>47</v>
      </c>
      <c r="D33" s="10" t="s">
        <v>113</v>
      </c>
      <c r="E33" s="11"/>
      <c r="F33" s="11">
        <f>20555.6*(4/29)</f>
        <v>2835.2551724137929</v>
      </c>
      <c r="G33" s="11">
        <v>20555.54</v>
      </c>
      <c r="H33" s="11">
        <v>20555.580000000002</v>
      </c>
      <c r="I33" s="11">
        <v>20555.53</v>
      </c>
      <c r="J33" s="11">
        <v>20555.580000000002</v>
      </c>
      <c r="K33" s="11"/>
      <c r="L33" s="11"/>
      <c r="M33" s="11"/>
      <c r="N33" s="11"/>
      <c r="O33" s="11"/>
      <c r="P33" s="11"/>
    </row>
    <row r="34" spans="2:16" x14ac:dyDescent="0.25">
      <c r="B34" s="10">
        <f>B33+1</f>
        <v>21</v>
      </c>
      <c r="C34" s="5" t="s">
        <v>49</v>
      </c>
      <c r="D34" s="10" t="s">
        <v>113</v>
      </c>
      <c r="E34" s="12"/>
      <c r="F34" s="12">
        <f>28746.14*(4/29)</f>
        <v>3964.9848275862068</v>
      </c>
      <c r="G34" s="12">
        <v>28746.05</v>
      </c>
      <c r="H34" s="12">
        <v>28746.11</v>
      </c>
      <c r="I34" s="12">
        <v>28746.04</v>
      </c>
      <c r="J34" s="12">
        <v>28746.100000000002</v>
      </c>
      <c r="K34" s="11"/>
      <c r="L34" s="12"/>
      <c r="M34" s="12"/>
      <c r="N34" s="12"/>
      <c r="O34" s="12"/>
      <c r="P34" s="12"/>
    </row>
    <row r="35" spans="2:16" x14ac:dyDescent="0.25">
      <c r="B35" s="10">
        <f t="shared" ref="B35:B38" si="14">B34+1</f>
        <v>22</v>
      </c>
      <c r="C35" s="5" t="s">
        <v>50</v>
      </c>
      <c r="D35" s="10" t="s">
        <v>113</v>
      </c>
      <c r="E35" s="12"/>
      <c r="F35" s="12">
        <f>62560.71*(4/29)</f>
        <v>8629.0634482758614</v>
      </c>
      <c r="G35" s="12">
        <v>62560.46</v>
      </c>
      <c r="H35" s="12">
        <v>62560.56</v>
      </c>
      <c r="I35" s="12">
        <v>62560.71</v>
      </c>
      <c r="J35" s="12">
        <v>62560.6</v>
      </c>
      <c r="K35" s="11"/>
      <c r="L35" s="12"/>
      <c r="M35" s="12"/>
      <c r="N35" s="12"/>
      <c r="O35" s="12"/>
      <c r="P35" s="12"/>
    </row>
    <row r="36" spans="2:16" x14ac:dyDescent="0.25">
      <c r="B36" s="10">
        <f t="shared" si="14"/>
        <v>23</v>
      </c>
      <c r="C36" s="5" t="s">
        <v>51</v>
      </c>
      <c r="D36" s="10" t="s">
        <v>113</v>
      </c>
      <c r="E36" s="12"/>
      <c r="F36" s="12">
        <v>0</v>
      </c>
      <c r="G36" s="12">
        <v>1240.1500000000001</v>
      </c>
      <c r="H36" s="12">
        <v>1549.22</v>
      </c>
      <c r="I36" s="12">
        <v>1549.22</v>
      </c>
      <c r="J36" s="12">
        <v>1549.22</v>
      </c>
      <c r="K36" s="12"/>
      <c r="L36" s="12"/>
      <c r="M36" s="12"/>
      <c r="N36" s="12"/>
      <c r="O36" s="12"/>
      <c r="P36" s="12"/>
    </row>
    <row r="37" spans="2:16" x14ac:dyDescent="0.25">
      <c r="B37" s="10">
        <f t="shared" si="14"/>
        <v>24</v>
      </c>
      <c r="C37" s="5" t="s">
        <v>52</v>
      </c>
      <c r="D37" s="10" t="s">
        <v>113</v>
      </c>
      <c r="E37" s="12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/>
      <c r="L37" s="12"/>
      <c r="M37" s="12"/>
      <c r="N37" s="12"/>
      <c r="O37" s="12"/>
      <c r="P37" s="12"/>
    </row>
    <row r="38" spans="2:16" x14ac:dyDescent="0.25">
      <c r="B38" s="10">
        <f t="shared" si="14"/>
        <v>25</v>
      </c>
      <c r="C38" s="5" t="s">
        <v>117</v>
      </c>
      <c r="D38" s="6" t="s">
        <v>118</v>
      </c>
      <c r="E38" s="21">
        <f>SUM(E33:E37)</f>
        <v>0</v>
      </c>
      <c r="F38" s="21">
        <f t="shared" ref="F38:G38" si="15">SUM(F33:F37)</f>
        <v>15429.303448275861</v>
      </c>
      <c r="G38" s="21">
        <f t="shared" si="15"/>
        <v>113102.19999999998</v>
      </c>
      <c r="H38" s="21">
        <f t="shared" ref="H38" si="16">SUM(H33:H37)</f>
        <v>113411.47</v>
      </c>
      <c r="I38" s="21">
        <f t="shared" ref="I38:P38" si="17">SUM(I33:I37)</f>
        <v>113411.5</v>
      </c>
      <c r="J38" s="21">
        <f t="shared" si="17"/>
        <v>113411.5</v>
      </c>
      <c r="K38" s="21">
        <f t="shared" si="17"/>
        <v>0</v>
      </c>
      <c r="L38" s="21">
        <f t="shared" si="17"/>
        <v>0</v>
      </c>
      <c r="M38" s="21">
        <f t="shared" si="17"/>
        <v>0</v>
      </c>
      <c r="N38" s="21">
        <f t="shared" si="17"/>
        <v>0</v>
      </c>
      <c r="O38" s="21">
        <f t="shared" si="17"/>
        <v>0</v>
      </c>
      <c r="P38" s="21">
        <f t="shared" si="17"/>
        <v>0</v>
      </c>
    </row>
    <row r="39" spans="2:16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x14ac:dyDescent="0.25">
      <c r="C40" s="5" t="s">
        <v>119</v>
      </c>
    </row>
    <row r="41" spans="2:16" x14ac:dyDescent="0.25">
      <c r="B41" s="10">
        <f>B38+1</f>
        <v>26</v>
      </c>
      <c r="C41" s="5" t="s">
        <v>47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/>
      <c r="L41" s="11"/>
      <c r="M41" s="11"/>
      <c r="N41" s="11"/>
      <c r="O41" s="11"/>
      <c r="P41" s="11"/>
    </row>
    <row r="42" spans="2:16" x14ac:dyDescent="0.25">
      <c r="B42" s="10">
        <f t="shared" ref="B42:B46" si="18">B41+1</f>
        <v>27</v>
      </c>
      <c r="C42" s="5" t="s">
        <v>49</v>
      </c>
      <c r="E42" s="12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/>
      <c r="M42" s="12"/>
      <c r="N42" s="12"/>
      <c r="O42" s="12"/>
      <c r="P42" s="12"/>
    </row>
    <row r="43" spans="2:16" x14ac:dyDescent="0.25">
      <c r="B43" s="10">
        <f t="shared" si="18"/>
        <v>28</v>
      </c>
      <c r="C43" s="5" t="s">
        <v>50</v>
      </c>
      <c r="E43" s="12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/>
      <c r="L43" s="12"/>
      <c r="M43" s="12"/>
      <c r="N43" s="12"/>
      <c r="O43" s="12"/>
      <c r="P43" s="12"/>
    </row>
    <row r="44" spans="2:16" x14ac:dyDescent="0.25">
      <c r="B44" s="10">
        <f t="shared" si="18"/>
        <v>29</v>
      </c>
      <c r="C44" s="5" t="s">
        <v>51</v>
      </c>
      <c r="E44" s="12"/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/>
      <c r="L44" s="12"/>
      <c r="M44" s="12"/>
      <c r="N44" s="12"/>
      <c r="O44" s="12"/>
      <c r="P44" s="12"/>
    </row>
    <row r="45" spans="2:16" x14ac:dyDescent="0.25">
      <c r="B45" s="10">
        <f t="shared" si="18"/>
        <v>30</v>
      </c>
      <c r="C45" s="5" t="s">
        <v>52</v>
      </c>
      <c r="E45" s="12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/>
      <c r="L45" s="12"/>
      <c r="M45" s="12"/>
      <c r="N45" s="12"/>
      <c r="O45" s="12"/>
      <c r="P45" s="12"/>
    </row>
    <row r="46" spans="2:16" x14ac:dyDescent="0.25">
      <c r="B46" s="10">
        <f t="shared" si="18"/>
        <v>31</v>
      </c>
      <c r="C46" s="5" t="s">
        <v>120</v>
      </c>
      <c r="D46" s="6" t="s">
        <v>121</v>
      </c>
      <c r="E46" s="21">
        <f t="shared" ref="E46:J46" si="19">SUM(E41:E45)</f>
        <v>0</v>
      </c>
      <c r="F46" s="21">
        <f t="shared" si="19"/>
        <v>0</v>
      </c>
      <c r="G46" s="21">
        <f t="shared" si="19"/>
        <v>0</v>
      </c>
      <c r="H46" s="21">
        <f t="shared" si="19"/>
        <v>0</v>
      </c>
      <c r="I46" s="21">
        <f t="shared" si="19"/>
        <v>0</v>
      </c>
      <c r="J46" s="21">
        <f t="shared" si="19"/>
        <v>0</v>
      </c>
      <c r="K46" s="21">
        <f t="shared" ref="K46:P46" si="20">SUM(K41:K45)</f>
        <v>0</v>
      </c>
      <c r="L46" s="21">
        <f t="shared" si="20"/>
        <v>0</v>
      </c>
      <c r="M46" s="21">
        <f t="shared" si="20"/>
        <v>0</v>
      </c>
      <c r="N46" s="21">
        <f t="shared" si="20"/>
        <v>0</v>
      </c>
      <c r="O46" s="21">
        <f t="shared" si="20"/>
        <v>0</v>
      </c>
      <c r="P46" s="21">
        <f t="shared" si="20"/>
        <v>0</v>
      </c>
    </row>
    <row r="47" spans="2:16" x14ac:dyDescent="0.2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x14ac:dyDescent="0.25">
      <c r="C48" s="5" t="s">
        <v>122</v>
      </c>
    </row>
    <row r="49" spans="2:16" x14ac:dyDescent="0.25">
      <c r="B49" s="10">
        <f>B46+1</f>
        <v>32</v>
      </c>
      <c r="C49" s="5" t="s">
        <v>47</v>
      </c>
      <c r="D49" s="10" t="s">
        <v>123</v>
      </c>
      <c r="E49" s="11"/>
      <c r="F49" s="11">
        <v>0</v>
      </c>
      <c r="G49" s="11">
        <f ca="1">-1726978.57*(35/91)*'WP 4- Tax Rates'!$D$21</f>
        <v>-943402.36346928391</v>
      </c>
      <c r="H49" s="11">
        <v>0</v>
      </c>
      <c r="I49" s="11">
        <v>0</v>
      </c>
      <c r="J49" s="11">
        <v>-2451358.3275133451</v>
      </c>
      <c r="K49" s="11"/>
      <c r="L49" s="11"/>
      <c r="M49" s="11"/>
      <c r="N49" s="11"/>
      <c r="O49" s="11"/>
      <c r="P49" s="11"/>
    </row>
    <row r="50" spans="2:16" x14ac:dyDescent="0.25">
      <c r="B50" s="10">
        <f t="shared" ref="B50:B55" si="21">B49+1</f>
        <v>33</v>
      </c>
      <c r="C50" s="5" t="s">
        <v>49</v>
      </c>
      <c r="D50" s="10" t="s">
        <v>123</v>
      </c>
      <c r="E50" s="12"/>
      <c r="F50" s="12">
        <v>0</v>
      </c>
      <c r="G50" s="12">
        <f ca="1">-996494.98*(35/91)*'WP 4- Tax Rates'!$D$21</f>
        <v>-544358.64789988485</v>
      </c>
      <c r="H50" s="12">
        <v>0</v>
      </c>
      <c r="I50" s="12">
        <v>0</v>
      </c>
      <c r="J50" s="12">
        <v>-1351679.2996150011</v>
      </c>
      <c r="K50" s="12"/>
      <c r="L50" s="12"/>
      <c r="M50" s="12"/>
      <c r="N50" s="12"/>
      <c r="O50" s="12"/>
      <c r="P50" s="12"/>
    </row>
    <row r="51" spans="2:16" x14ac:dyDescent="0.25">
      <c r="B51" s="10">
        <f t="shared" si="21"/>
        <v>34</v>
      </c>
      <c r="C51" s="5" t="s">
        <v>50</v>
      </c>
      <c r="D51" s="10" t="s">
        <v>123</v>
      </c>
      <c r="E51" s="12"/>
      <c r="F51" s="12">
        <v>0</v>
      </c>
      <c r="G51" s="12">
        <f ca="1">-448702.81*(35/91)*'WP 4- Tax Rates'!$D$21</f>
        <v>-245114.38578494289</v>
      </c>
      <c r="H51" s="12">
        <v>0</v>
      </c>
      <c r="I51" s="12">
        <v>0</v>
      </c>
      <c r="J51" s="12">
        <v>-674820.2408297006</v>
      </c>
      <c r="K51" s="12"/>
      <c r="L51" s="12"/>
      <c r="M51" s="12"/>
      <c r="N51" s="12"/>
      <c r="O51" s="12"/>
      <c r="P51" s="12"/>
    </row>
    <row r="52" spans="2:16" x14ac:dyDescent="0.25">
      <c r="B52" s="10">
        <f t="shared" si="21"/>
        <v>35</v>
      </c>
      <c r="C52" s="5" t="s">
        <v>51</v>
      </c>
      <c r="D52" s="10" t="s">
        <v>123</v>
      </c>
      <c r="E52" s="12"/>
      <c r="F52" s="12">
        <v>0</v>
      </c>
      <c r="G52" s="12">
        <f ca="1">-528454.93*(35/91)*'WP 4- Tax Rates'!$D$21</f>
        <v>-288680.84330021247</v>
      </c>
      <c r="H52" s="12">
        <v>0</v>
      </c>
      <c r="I52" s="12">
        <v>0</v>
      </c>
      <c r="J52" s="12">
        <v>-778834.29011775833</v>
      </c>
      <c r="K52" s="12"/>
      <c r="L52" s="12"/>
      <c r="M52" s="12"/>
      <c r="N52" s="12"/>
      <c r="O52" s="12"/>
      <c r="P52" s="12"/>
    </row>
    <row r="53" spans="2:16" x14ac:dyDescent="0.25">
      <c r="B53" s="10">
        <f t="shared" si="21"/>
        <v>36</v>
      </c>
      <c r="C53" s="5" t="s">
        <v>52</v>
      </c>
      <c r="D53" s="10" t="s">
        <v>123</v>
      </c>
      <c r="E53" s="12"/>
      <c r="F53" s="12">
        <v>0</v>
      </c>
      <c r="G53" s="12">
        <f ca="1">-508560.37*(35/91)*'WP 4- Tax Rates'!$D$21</f>
        <v>-277812.9754237851</v>
      </c>
      <c r="H53" s="12">
        <v>0</v>
      </c>
      <c r="I53" s="12">
        <v>0</v>
      </c>
      <c r="J53" s="12">
        <v>-722313.73406787158</v>
      </c>
      <c r="K53" s="12"/>
      <c r="L53" s="12"/>
      <c r="M53" s="12"/>
      <c r="N53" s="12"/>
      <c r="O53" s="12"/>
      <c r="P53" s="12"/>
    </row>
    <row r="54" spans="2:16" x14ac:dyDescent="0.25">
      <c r="B54" s="10">
        <f t="shared" si="21"/>
        <v>37</v>
      </c>
      <c r="C54" s="5" t="s">
        <v>53</v>
      </c>
      <c r="D54" s="10" t="s">
        <v>123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x14ac:dyDescent="0.25">
      <c r="B55" s="10">
        <f t="shared" si="21"/>
        <v>38</v>
      </c>
      <c r="C55" s="5" t="s">
        <v>124</v>
      </c>
      <c r="D55" s="6" t="s">
        <v>125</v>
      </c>
      <c r="E55" s="21">
        <f t="shared" ref="E55:P55" si="22">SUM(E49:E54)</f>
        <v>0</v>
      </c>
      <c r="F55" s="21">
        <f t="shared" si="22"/>
        <v>0</v>
      </c>
      <c r="G55" s="21">
        <f t="shared" ca="1" si="22"/>
        <v>-2299369.215878109</v>
      </c>
      <c r="H55" s="21">
        <f t="shared" ref="H55:J55" si="23">SUM(H49:H54)</f>
        <v>0</v>
      </c>
      <c r="I55" s="21">
        <f t="shared" ref="I55" si="24">SUM(I49:I54)</f>
        <v>0</v>
      </c>
      <c r="J55" s="21">
        <f t="shared" si="23"/>
        <v>-5979005.8921436761</v>
      </c>
      <c r="K55" s="21">
        <f t="shared" si="22"/>
        <v>0</v>
      </c>
      <c r="L55" s="21">
        <f t="shared" si="22"/>
        <v>0</v>
      </c>
      <c r="M55" s="21">
        <f t="shared" si="22"/>
        <v>0</v>
      </c>
      <c r="N55" s="21">
        <f t="shared" si="22"/>
        <v>0</v>
      </c>
      <c r="O55" s="21">
        <f t="shared" si="22"/>
        <v>0</v>
      </c>
      <c r="P55" s="21">
        <f t="shared" si="22"/>
        <v>0</v>
      </c>
    </row>
    <row r="56" spans="2:16" x14ac:dyDescent="0.2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x14ac:dyDescent="0.25">
      <c r="C57" s="5" t="s">
        <v>126</v>
      </c>
    </row>
    <row r="58" spans="2:16" x14ac:dyDescent="0.25">
      <c r="B58" s="10">
        <f>B55+1</f>
        <v>39</v>
      </c>
      <c r="C58" s="5" t="s">
        <v>47</v>
      </c>
      <c r="D58" s="10" t="s">
        <v>123</v>
      </c>
      <c r="E58" s="11"/>
      <c r="F58" s="11"/>
      <c r="G58" s="11">
        <f ca="1">-5918.49*(35/91)*'WP 4- Tax Rates'!$D$21</f>
        <v>-3233.1133409312206</v>
      </c>
      <c r="H58" s="11">
        <v>0</v>
      </c>
      <c r="I58" s="11">
        <v>0</v>
      </c>
      <c r="J58" s="11">
        <v>-8701.9694312487718</v>
      </c>
      <c r="K58" s="11"/>
      <c r="L58" s="11"/>
      <c r="M58" s="11"/>
      <c r="N58" s="11"/>
      <c r="O58" s="11"/>
      <c r="P58" s="11"/>
    </row>
    <row r="59" spans="2:16" x14ac:dyDescent="0.25">
      <c r="B59" s="10">
        <f t="shared" ref="B59:B63" si="25">B58+1</f>
        <v>40</v>
      </c>
      <c r="C59" s="5" t="s">
        <v>49</v>
      </c>
      <c r="D59" s="10" t="s">
        <v>123</v>
      </c>
      <c r="E59" s="12"/>
      <c r="F59" s="11"/>
      <c r="G59" s="12">
        <f ca="1">-8494.1*(35/91)*'WP 4- Tax Rates'!$D$21</f>
        <v>-4640.1004359564486</v>
      </c>
      <c r="H59" s="12">
        <v>0</v>
      </c>
      <c r="I59" s="12">
        <v>0</v>
      </c>
      <c r="J59" s="12">
        <v>-12064.247229827404</v>
      </c>
      <c r="K59" s="12"/>
      <c r="L59" s="12"/>
      <c r="M59" s="12"/>
      <c r="N59" s="12"/>
      <c r="O59" s="12"/>
      <c r="P59" s="12"/>
    </row>
    <row r="60" spans="2:16" x14ac:dyDescent="0.25">
      <c r="B60" s="10">
        <f t="shared" si="25"/>
        <v>41</v>
      </c>
      <c r="C60" s="5" t="s">
        <v>50</v>
      </c>
      <c r="D60" s="10" t="s">
        <v>123</v>
      </c>
      <c r="E60" s="12"/>
      <c r="F60" s="11"/>
      <c r="G60" s="12">
        <f ca="1">0*(35/91)*'WP 4- Tax Rates'!$D$21</f>
        <v>0</v>
      </c>
      <c r="H60" s="12">
        <v>0</v>
      </c>
      <c r="I60" s="12">
        <v>0</v>
      </c>
      <c r="J60" s="12">
        <v>-2132.7409369607026</v>
      </c>
      <c r="K60" s="12"/>
      <c r="L60" s="12"/>
      <c r="M60" s="12"/>
      <c r="N60" s="12"/>
      <c r="O60" s="12"/>
      <c r="P60" s="12"/>
    </row>
    <row r="61" spans="2:16" x14ac:dyDescent="0.25">
      <c r="B61" s="10">
        <f t="shared" si="25"/>
        <v>42</v>
      </c>
      <c r="C61" s="5" t="s">
        <v>51</v>
      </c>
      <c r="D61" s="10" t="s">
        <v>123</v>
      </c>
      <c r="E61" s="12"/>
      <c r="F61" s="11"/>
      <c r="G61" s="12">
        <f ca="1">148.83*(35/91)*'WP 4- Tax Rates'!$D$21</f>
        <v>81.301862220058425</v>
      </c>
      <c r="H61" s="12">
        <v>0</v>
      </c>
      <c r="I61" s="12">
        <v>0</v>
      </c>
      <c r="J61" s="12">
        <v>-444.50811783805449</v>
      </c>
      <c r="K61" s="12"/>
      <c r="L61" s="12"/>
      <c r="M61" s="12"/>
      <c r="N61" s="12"/>
      <c r="O61" s="12"/>
      <c r="P61" s="12"/>
    </row>
    <row r="62" spans="2:16" x14ac:dyDescent="0.25">
      <c r="B62" s="10">
        <f t="shared" si="25"/>
        <v>43</v>
      </c>
      <c r="C62" s="5" t="s">
        <v>52</v>
      </c>
      <c r="D62" s="10" t="s">
        <v>123</v>
      </c>
      <c r="E62" s="12"/>
      <c r="F62" s="11"/>
      <c r="G62" s="12">
        <f ca="1">0*(35/91)*'WP 4- Tax Rates'!$D$21</f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12"/>
      <c r="O62" s="12"/>
      <c r="P62" s="12"/>
    </row>
    <row r="63" spans="2:16" x14ac:dyDescent="0.25">
      <c r="B63" s="10">
        <f t="shared" si="25"/>
        <v>44</v>
      </c>
      <c r="C63" s="5" t="s">
        <v>127</v>
      </c>
      <c r="D63" s="6" t="s">
        <v>128</v>
      </c>
      <c r="E63" s="21">
        <f t="shared" ref="E63:P63" si="26">SUM(E58:E62)</f>
        <v>0</v>
      </c>
      <c r="F63" s="21">
        <f t="shared" si="26"/>
        <v>0</v>
      </c>
      <c r="G63" s="21">
        <f t="shared" ca="1" si="26"/>
        <v>-7791.9119146676103</v>
      </c>
      <c r="H63" s="21">
        <f t="shared" ref="H63:J63" si="27">SUM(H58:H62)</f>
        <v>0</v>
      </c>
      <c r="I63" s="21">
        <f t="shared" ref="I63" si="28">SUM(I58:I62)</f>
        <v>0</v>
      </c>
      <c r="J63" s="21">
        <f t="shared" si="27"/>
        <v>-23343.465715874932</v>
      </c>
      <c r="K63" s="21">
        <f t="shared" si="26"/>
        <v>0</v>
      </c>
      <c r="L63" s="21">
        <f t="shared" si="26"/>
        <v>0</v>
      </c>
      <c r="M63" s="21">
        <f t="shared" si="26"/>
        <v>0</v>
      </c>
      <c r="N63" s="21">
        <f t="shared" si="26"/>
        <v>0</v>
      </c>
      <c r="O63" s="21">
        <f t="shared" si="26"/>
        <v>0</v>
      </c>
      <c r="P63" s="21">
        <f t="shared" si="26"/>
        <v>0</v>
      </c>
    </row>
    <row r="64" spans="2:16" x14ac:dyDescent="0.25">
      <c r="E64" s="15"/>
      <c r="F64" s="15"/>
      <c r="G64" s="15"/>
      <c r="H64" s="15"/>
    </row>
    <row r="65" spans="2:16" ht="32.25" customHeight="1" x14ac:dyDescent="0.25">
      <c r="B65" s="10">
        <f>B63+1</f>
        <v>45</v>
      </c>
      <c r="C65" s="5" t="s">
        <v>129</v>
      </c>
      <c r="D65" s="80" t="s">
        <v>130</v>
      </c>
      <c r="E65" s="11">
        <f t="shared" ref="E65:P65" si="29">SUM(E19,E21,E30,E38,E46,E55,E63)</f>
        <v>0</v>
      </c>
      <c r="F65" s="11">
        <f t="shared" ca="1" si="29"/>
        <v>-769401.91703265719</v>
      </c>
      <c r="G65" s="11">
        <f t="shared" ca="1" si="29"/>
        <v>-8479085.7123267204</v>
      </c>
      <c r="H65" s="11">
        <f t="shared" ca="1" si="29"/>
        <v>-7435784.5648388946</v>
      </c>
      <c r="I65" s="11">
        <f t="shared" ca="1" si="29"/>
        <v>-5981189.4288147287</v>
      </c>
      <c r="J65" s="11">
        <f t="shared" ca="1" si="29"/>
        <v>-11637832.129142635</v>
      </c>
      <c r="K65" s="11">
        <f t="shared" si="29"/>
        <v>0</v>
      </c>
      <c r="L65" s="11">
        <f t="shared" si="29"/>
        <v>0</v>
      </c>
      <c r="M65" s="11">
        <f t="shared" si="29"/>
        <v>0</v>
      </c>
      <c r="N65" s="11">
        <f t="shared" si="29"/>
        <v>0</v>
      </c>
      <c r="O65" s="11">
        <f t="shared" si="29"/>
        <v>0</v>
      </c>
      <c r="P65" s="11">
        <f t="shared" si="29"/>
        <v>0</v>
      </c>
    </row>
    <row r="66" spans="2:16" x14ac:dyDescent="0.25">
      <c r="B66" s="10">
        <f t="shared" ref="B66" si="30">B65+1</f>
        <v>46</v>
      </c>
      <c r="C66" s="18" t="s">
        <v>131</v>
      </c>
      <c r="D66" s="10" t="s">
        <v>132</v>
      </c>
      <c r="E66" s="17">
        <f>SUM($E$65:E65)</f>
        <v>0</v>
      </c>
      <c r="F66" s="17">
        <f ca="1">SUM($E$65:F65)</f>
        <v>-769401.91703265719</v>
      </c>
      <c r="G66" s="17">
        <f ca="1">SUM($E$65:G65)</f>
        <v>-9248487.6293593775</v>
      </c>
      <c r="H66" s="17">
        <f ca="1">SUM($E$65:H65)</f>
        <v>-16684272.194198273</v>
      </c>
      <c r="I66" s="17">
        <f ca="1">SUM($E$65:I65)</f>
        <v>-22665461.623013001</v>
      </c>
      <c r="J66" s="17">
        <f ca="1">SUM($E$65:J65)</f>
        <v>-34303293.752155632</v>
      </c>
      <c r="K66" s="17">
        <f ca="1">SUM($E$65:K65)</f>
        <v>-34303293.752155632</v>
      </c>
      <c r="L66" s="17">
        <f ca="1">SUM($E$65:L65)</f>
        <v>-34303293.752155632</v>
      </c>
      <c r="M66" s="17">
        <f ca="1">SUM($E$65:M65)</f>
        <v>-34303293.752155632</v>
      </c>
      <c r="N66" s="17">
        <f ca="1">SUM($E$65:N65)</f>
        <v>-34303293.752155632</v>
      </c>
      <c r="O66" s="17">
        <f ca="1">SUM($E$65:O65)</f>
        <v>-34303293.752155632</v>
      </c>
      <c r="P66" s="17">
        <f ca="1">SUM($E$65:P65)</f>
        <v>-34303293.752155632</v>
      </c>
    </row>
    <row r="67" spans="2:16" x14ac:dyDescent="0.3">
      <c r="G67" s="22"/>
    </row>
    <row r="69" spans="2:16" x14ac:dyDescent="0.25">
      <c r="C69" s="5" t="s">
        <v>41</v>
      </c>
    </row>
    <row r="70" spans="2:16" x14ac:dyDescent="0.25">
      <c r="C70" s="54" t="s">
        <v>42</v>
      </c>
    </row>
    <row r="71" spans="2:16" x14ac:dyDescent="0.25">
      <c r="C71" s="54" t="s">
        <v>133</v>
      </c>
    </row>
    <row r="72" spans="2:16" x14ac:dyDescent="0.25">
      <c r="C72" s="54" t="s">
        <v>134</v>
      </c>
    </row>
    <row r="73" spans="2:16" x14ac:dyDescent="0.25">
      <c r="C73" s="54" t="s">
        <v>135</v>
      </c>
    </row>
    <row r="74" spans="2:16" x14ac:dyDescent="0.25">
      <c r="C74" s="54" t="s">
        <v>136</v>
      </c>
      <c r="G74" s="22"/>
    </row>
    <row r="75" spans="2:16" x14ac:dyDescent="0.25">
      <c r="C75" s="54" t="s">
        <v>137</v>
      </c>
      <c r="G75" s="79"/>
    </row>
  </sheetData>
  <protectedRanges>
    <protectedRange sqref="E4:F4 E5:J5" name="Range1"/>
    <protectedRange sqref="F21" name="Range1_1"/>
  </protectedRanges>
  <pageMargins left="0.7" right="0.7" top="0.75" bottom="0.75" header="0.3" footer="0.3"/>
  <pageSetup scale="54" orientation="landscape" verticalDpi="0" r:id="rId1"/>
  <headerFooter scaleWithDoc="0" alignWithMargins="0">
    <oddFooter>&amp;R&amp;"Arial,Bold"&amp;10&amp;A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60BD-8516-47D8-8798-31DDD7E14A98}">
  <dimension ref="B3:K26"/>
  <sheetViews>
    <sheetView tabSelected="1" topLeftCell="A5" workbookViewId="0">
      <selection sqref="A1:XFD1"/>
    </sheetView>
  </sheetViews>
  <sheetFormatPr defaultColWidth="9.109375" defaultRowHeight="13.2" x14ac:dyDescent="0.25"/>
  <cols>
    <col min="1" max="1" customWidth="true" style="5" width="2.0" collapsed="false"/>
    <col min="2" max="2" bestFit="true" customWidth="true" style="5" width="4.44140625" collapsed="false"/>
    <col min="3" max="3" bestFit="true" customWidth="true" style="5" width="38.88671875" collapsed="false"/>
    <col min="4" max="4" customWidth="true" style="5" width="5.44140625" collapsed="false"/>
    <col min="5" max="9" customWidth="true" style="5" width="11.109375" collapsed="false"/>
    <col min="10" max="16384" style="5" width="9.109375" collapsed="false"/>
  </cols>
  <sheetData>
    <row r="3" spans="2:11" ht="15.6" x14ac:dyDescent="0.3">
      <c r="C3" s="78" t="s">
        <v>138</v>
      </c>
    </row>
    <row r="4" spans="2:11" ht="15.6" x14ac:dyDescent="0.3">
      <c r="D4" s="78"/>
      <c r="E4" s="78"/>
      <c r="F4" s="78"/>
      <c r="G4" s="78"/>
      <c r="H4" s="78"/>
      <c r="I4" s="78"/>
      <c r="J4" s="78"/>
      <c r="K4" s="78"/>
    </row>
    <row r="5" spans="2:11" x14ac:dyDescent="0.25"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</row>
    <row r="7" spans="2:11" x14ac:dyDescent="0.25">
      <c r="E7" s="69" t="s">
        <v>139</v>
      </c>
      <c r="F7" s="69" t="s">
        <v>140</v>
      </c>
      <c r="G7" s="69" t="s">
        <v>141</v>
      </c>
      <c r="H7" s="69" t="s">
        <v>142</v>
      </c>
      <c r="I7" s="69" t="s">
        <v>143</v>
      </c>
    </row>
    <row r="8" spans="2:11" x14ac:dyDescent="0.25">
      <c r="B8" s="10" t="s">
        <v>12</v>
      </c>
      <c r="E8" s="70" t="s">
        <v>144</v>
      </c>
      <c r="F8" s="70" t="s">
        <v>144</v>
      </c>
      <c r="G8" s="70" t="s">
        <v>144</v>
      </c>
      <c r="H8" s="70" t="s">
        <v>144</v>
      </c>
      <c r="I8" s="70" t="s">
        <v>144</v>
      </c>
    </row>
    <row r="9" spans="2:11" ht="13.8" thickBot="1" x14ac:dyDescent="0.3">
      <c r="B9" s="14" t="s">
        <v>14</v>
      </c>
      <c r="C9" s="66" t="s">
        <v>145</v>
      </c>
      <c r="E9" s="71" t="s">
        <v>146</v>
      </c>
      <c r="F9" s="71" t="s">
        <v>146</v>
      </c>
      <c r="G9" s="71" t="s">
        <v>146</v>
      </c>
      <c r="H9" s="71" t="s">
        <v>146</v>
      </c>
      <c r="I9" s="71" t="s">
        <v>146</v>
      </c>
    </row>
    <row r="10" spans="2:11" x14ac:dyDescent="0.25">
      <c r="B10" s="10">
        <v>1</v>
      </c>
      <c r="C10" s="7" t="s">
        <v>147</v>
      </c>
      <c r="E10" s="72">
        <v>296268100.50999999</v>
      </c>
      <c r="F10" s="72">
        <v>271858149.78000003</v>
      </c>
      <c r="G10" s="72">
        <v>241029695.99000001</v>
      </c>
      <c r="H10" s="72">
        <v>222545679.21000016</v>
      </c>
      <c r="I10" s="72">
        <v>333989684.9799999</v>
      </c>
    </row>
    <row r="11" spans="2:11" x14ac:dyDescent="0.25">
      <c r="B11" s="10">
        <f>B10+1</f>
        <v>2</v>
      </c>
      <c r="C11" s="5" t="s">
        <v>148</v>
      </c>
      <c r="E11" s="73">
        <v>331956689.37</v>
      </c>
      <c r="F11" s="73">
        <v>297549788.25999999</v>
      </c>
      <c r="G11" s="73">
        <v>265304110.99000013</v>
      </c>
      <c r="H11" s="73">
        <v>269776882.39000016</v>
      </c>
      <c r="I11" s="73">
        <v>324953227.34999967</v>
      </c>
    </row>
    <row r="12" spans="2:11" x14ac:dyDescent="0.25">
      <c r="B12" s="10">
        <f>B11+1</f>
        <v>3</v>
      </c>
      <c r="C12" s="5" t="s">
        <v>149</v>
      </c>
      <c r="E12" s="73">
        <v>542451643.10000002</v>
      </c>
      <c r="F12" s="73">
        <v>513489052.06999999</v>
      </c>
      <c r="G12" s="73">
        <v>480412553.18000007</v>
      </c>
      <c r="H12" s="73">
        <v>520411434.12000006</v>
      </c>
      <c r="I12" s="73">
        <v>530530698.8499999</v>
      </c>
    </row>
    <row r="13" spans="2:11" ht="13.8" thickBot="1" x14ac:dyDescent="0.3">
      <c r="B13" s="10">
        <f>B12+1</f>
        <v>4</v>
      </c>
      <c r="C13" s="5" t="s">
        <v>150</v>
      </c>
      <c r="E13" s="74">
        <v>2982451</v>
      </c>
      <c r="F13" s="74">
        <v>2967048</v>
      </c>
      <c r="G13" s="74">
        <v>2946354</v>
      </c>
      <c r="H13" s="74">
        <v>2953449</v>
      </c>
      <c r="I13" s="74">
        <v>2837467</v>
      </c>
    </row>
    <row r="14" spans="2:11" x14ac:dyDescent="0.25">
      <c r="B14" s="10">
        <f>B13+1</f>
        <v>5</v>
      </c>
      <c r="C14" s="67" t="s">
        <v>151</v>
      </c>
      <c r="E14" s="73">
        <f>SUM(E10:E13)</f>
        <v>1173658883.98</v>
      </c>
      <c r="F14" s="73">
        <f>SUM(F10:F13)</f>
        <v>1085864038.1099999</v>
      </c>
      <c r="G14" s="73">
        <f>SUM(G10:G13)</f>
        <v>989692714.16000021</v>
      </c>
      <c r="H14" s="73">
        <f>SUM(H10:H13)</f>
        <v>1015687444.7200004</v>
      </c>
      <c r="I14" s="73">
        <f>SUM(I10:I13)</f>
        <v>1192311078.1799994</v>
      </c>
    </row>
    <row r="15" spans="2:11" x14ac:dyDescent="0.25">
      <c r="C15" s="67"/>
      <c r="E15" s="73"/>
      <c r="F15" s="73"/>
      <c r="G15" s="73"/>
      <c r="H15" s="73"/>
      <c r="I15" s="73"/>
    </row>
    <row r="16" spans="2:11" x14ac:dyDescent="0.25">
      <c r="B16" s="10">
        <f>B14+1</f>
        <v>6</v>
      </c>
      <c r="C16" s="5" t="s">
        <v>152</v>
      </c>
      <c r="E16" s="73">
        <v>59699520</v>
      </c>
      <c r="F16" s="73">
        <v>56852857</v>
      </c>
      <c r="G16" s="73">
        <v>47980016</v>
      </c>
      <c r="H16" s="73">
        <v>47781906</v>
      </c>
      <c r="I16" s="73">
        <v>64242816</v>
      </c>
    </row>
    <row r="17" spans="2:9" x14ac:dyDescent="0.25">
      <c r="B17" s="10">
        <f>B16+1</f>
        <v>7</v>
      </c>
      <c r="C17" s="5" t="s">
        <v>153</v>
      </c>
      <c r="E17" s="73">
        <v>570023756</v>
      </c>
      <c r="F17" s="73">
        <v>220867632</v>
      </c>
      <c r="G17" s="73">
        <v>278131033</v>
      </c>
      <c r="H17" s="73">
        <v>393282093.5</v>
      </c>
      <c r="I17" s="73">
        <v>242357692.59999999</v>
      </c>
    </row>
    <row r="18" spans="2:9" ht="13.8" thickBot="1" x14ac:dyDescent="0.3">
      <c r="B18" s="10">
        <f>B17+1</f>
        <v>8</v>
      </c>
      <c r="C18" s="53" t="s">
        <v>154</v>
      </c>
      <c r="E18" s="73">
        <v>24426157</v>
      </c>
      <c r="F18" s="73">
        <v>56553086</v>
      </c>
      <c r="G18" s="73">
        <v>41542982</v>
      </c>
      <c r="H18" s="73">
        <v>69525582</v>
      </c>
      <c r="I18" s="73">
        <v>88239818</v>
      </c>
    </row>
    <row r="19" spans="2:9" x14ac:dyDescent="0.25">
      <c r="B19" s="10">
        <f>B18+1</f>
        <v>9</v>
      </c>
      <c r="C19" s="67" t="s">
        <v>155</v>
      </c>
      <c r="E19" s="75">
        <f>E16+E17+E18</f>
        <v>654149433</v>
      </c>
      <c r="F19" s="75">
        <f>F16+F17+F18</f>
        <v>334273575</v>
      </c>
      <c r="G19" s="75">
        <f>G16+G17+G18</f>
        <v>367654031</v>
      </c>
      <c r="H19" s="75">
        <f>H16+H17+H18</f>
        <v>510589581.5</v>
      </c>
      <c r="I19" s="75">
        <f>I16+I17+I18</f>
        <v>394840326.60000002</v>
      </c>
    </row>
    <row r="20" spans="2:9" ht="13.8" thickBot="1" x14ac:dyDescent="0.3">
      <c r="E20" s="74"/>
      <c r="F20" s="74"/>
      <c r="G20" s="74"/>
      <c r="H20" s="74"/>
      <c r="I20" s="74"/>
    </row>
    <row r="21" spans="2:9" ht="13.8" thickBot="1" x14ac:dyDescent="0.3">
      <c r="B21" s="10">
        <f>B19+1</f>
        <v>10</v>
      </c>
      <c r="C21" s="68" t="s">
        <v>156</v>
      </c>
      <c r="E21" s="76">
        <f>E14+E19</f>
        <v>1827808316.98</v>
      </c>
      <c r="F21" s="76">
        <f>F14+F19</f>
        <v>1420137613.1099999</v>
      </c>
      <c r="G21" s="76">
        <f>G14+G19</f>
        <v>1357346745.1600003</v>
      </c>
      <c r="H21" s="76">
        <f>H14+H19</f>
        <v>1526277026.2200003</v>
      </c>
      <c r="I21" s="76">
        <f>I14+I19</f>
        <v>1587151404.7799993</v>
      </c>
    </row>
    <row r="22" spans="2:9" ht="13.8" thickTop="1" x14ac:dyDescent="0.25"/>
    <row r="23" spans="2:9" x14ac:dyDescent="0.25">
      <c r="B23" s="10">
        <f>B21+1</f>
        <v>11</v>
      </c>
      <c r="C23" s="5" t="s">
        <v>157</v>
      </c>
      <c r="E23" s="73">
        <f>E14</f>
        <v>1173658883.98</v>
      </c>
      <c r="F23" s="73">
        <f>F14</f>
        <v>1085864038.1099999</v>
      </c>
      <c r="G23" s="73">
        <f>G14</f>
        <v>989692714.16000021</v>
      </c>
      <c r="H23" s="73">
        <f>H14</f>
        <v>1015687444.7200004</v>
      </c>
      <c r="I23" s="73">
        <f>I14</f>
        <v>1192311078.1799994</v>
      </c>
    </row>
    <row r="24" spans="2:9" x14ac:dyDescent="0.25">
      <c r="B24" s="10">
        <f>B23+1</f>
        <v>12</v>
      </c>
      <c r="C24" s="5" t="s">
        <v>158</v>
      </c>
      <c r="E24" s="73">
        <f>SUM(E14,E16)</f>
        <v>1233358403.98</v>
      </c>
      <c r="F24" s="73">
        <f>SUM(F14,F16)</f>
        <v>1142716895.1099999</v>
      </c>
      <c r="G24" s="73">
        <f>SUM(G14,G16)</f>
        <v>1037672730.1600002</v>
      </c>
      <c r="H24" s="73">
        <f>SUM(H14,H16)</f>
        <v>1063469350.7200004</v>
      </c>
      <c r="I24" s="73">
        <f>SUM(I14,I16)</f>
        <v>1256553894.1799994</v>
      </c>
    </row>
    <row r="26" spans="2:9" x14ac:dyDescent="0.25">
      <c r="C26" s="77" t="s">
        <v>159</v>
      </c>
    </row>
  </sheetData>
  <pageMargins left="0.7" right="0.7" top="0.75" bottom="0.75" header="0.3" footer="0.3"/>
  <pageSetup orientation="portrait" verticalDpi="0" r:id="rId1"/>
  <headerFooter scaleWithDoc="0" alignWithMargins="0">
    <oddFooter>&amp;R&amp;"Arial,Bold"&amp;10&amp;A</oddFooter>
  </headerFooter>
  <ignoredErrors>
    <ignoredError sqref="E8:F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7ACB-8D4B-4B3E-ABC3-D5157123B710}">
  <dimension ref="B4:K12"/>
  <sheetViews>
    <sheetView tabSelected="1" workbookViewId="0">
      <selection sqref="A1:XFD1"/>
    </sheetView>
  </sheetViews>
  <sheetFormatPr defaultRowHeight="14.4" x14ac:dyDescent="0.3"/>
  <cols>
    <col min="1" max="1" customWidth="true" width="5.0" collapsed="false"/>
    <col min="2" max="2" customWidth="true" width="14.44140625" collapsed="false"/>
    <col min="3" max="3" bestFit="true" customWidth="true" width="10.0" collapsed="false"/>
    <col min="4" max="4" bestFit="true" customWidth="true" width="29.33203125" collapsed="false"/>
    <col min="5" max="5" bestFit="true" customWidth="true" width="7.33203125" collapsed="false"/>
    <col min="6" max="6" bestFit="true" customWidth="true" width="9.109375" collapsed="false"/>
    <col min="7" max="10" bestFit="true" customWidth="true" width="18.0" collapsed="false"/>
    <col min="11" max="11" bestFit="true" customWidth="true" width="15.0" collapsed="false"/>
  </cols>
  <sheetData>
    <row r="4" spans="2:11" x14ac:dyDescent="0.3">
      <c r="B4" s="57" t="s">
        <v>160</v>
      </c>
    </row>
    <row r="5" spans="2:11" x14ac:dyDescent="0.3">
      <c r="F5" t="s">
        <v>161</v>
      </c>
      <c r="G5" s="23" t="s">
        <v>162</v>
      </c>
      <c r="H5" s="23" t="s">
        <v>163</v>
      </c>
      <c r="I5" s="23" t="s">
        <v>164</v>
      </c>
      <c r="J5" s="23" t="s">
        <v>165</v>
      </c>
    </row>
    <row r="6" spans="2:11" s="58" customFormat="1" ht="28.8" x14ac:dyDescent="0.3">
      <c r="B6" s="62" t="s">
        <v>166</v>
      </c>
      <c r="C6" s="62" t="s">
        <v>167</v>
      </c>
      <c r="D6" s="62" t="s">
        <v>168</v>
      </c>
      <c r="E6" s="62" t="s">
        <v>169</v>
      </c>
      <c r="F6" s="62" t="s">
        <v>170</v>
      </c>
      <c r="G6" s="61" t="s">
        <v>171</v>
      </c>
      <c r="H6" s="61" t="s">
        <v>172</v>
      </c>
      <c r="I6" s="61" t="s">
        <v>173</v>
      </c>
      <c r="J6" s="61" t="s">
        <v>174</v>
      </c>
      <c r="K6" s="61" t="s">
        <v>175</v>
      </c>
    </row>
    <row r="7" spans="2:11" x14ac:dyDescent="0.3">
      <c r="B7" t="s">
        <v>176</v>
      </c>
      <c r="C7" t="s">
        <v>177</v>
      </c>
      <c r="D7" t="s">
        <v>178</v>
      </c>
      <c r="E7">
        <v>2020</v>
      </c>
      <c r="F7">
        <v>2</v>
      </c>
      <c r="G7" s="59">
        <v>-2657.03</v>
      </c>
      <c r="H7" s="59">
        <v>-1.8399999999999999</v>
      </c>
      <c r="I7" s="59">
        <v>-63584.420000000006</v>
      </c>
      <c r="J7" s="59">
        <v>-232.99</v>
      </c>
      <c r="K7" s="59">
        <v>-66476.280000000013</v>
      </c>
    </row>
    <row r="8" spans="2:11" x14ac:dyDescent="0.3">
      <c r="F8">
        <v>3</v>
      </c>
      <c r="G8" s="59">
        <v>-898693.70999999973</v>
      </c>
      <c r="H8" s="59">
        <v>-235.64</v>
      </c>
      <c r="I8" s="59">
        <v>-2494200.6900000013</v>
      </c>
      <c r="J8" s="59">
        <v>-5966.7899999999991</v>
      </c>
      <c r="K8" s="59">
        <v>-3399096.830000001</v>
      </c>
    </row>
    <row r="9" spans="2:11" x14ac:dyDescent="0.3">
      <c r="F9">
        <v>4</v>
      </c>
      <c r="G9" s="59">
        <v>-654751.65999999945</v>
      </c>
      <c r="H9" s="59">
        <v>-244.72000000000003</v>
      </c>
      <c r="I9" s="59">
        <v>-2024119.4400000004</v>
      </c>
      <c r="J9" s="59">
        <v>-8053.8600000000024</v>
      </c>
      <c r="K9" s="59">
        <v>-2687169.6799999997</v>
      </c>
    </row>
    <row r="10" spans="2:11" x14ac:dyDescent="0.3">
      <c r="F10">
        <v>5</v>
      </c>
      <c r="G10" s="59">
        <v>-604896.21000000031</v>
      </c>
      <c r="H10" s="59">
        <v>-49.309999999999945</v>
      </c>
      <c r="I10" s="59">
        <v>-2143360.1500000004</v>
      </c>
      <c r="J10" s="59">
        <v>-8033.1000000000013</v>
      </c>
      <c r="K10" s="59">
        <v>-2756338.7700000009</v>
      </c>
    </row>
    <row r="11" spans="2:11" x14ac:dyDescent="0.3">
      <c r="B11" t="s">
        <v>175</v>
      </c>
      <c r="F11">
        <v>6</v>
      </c>
      <c r="G11" s="59">
        <v>-908297.24999999988</v>
      </c>
      <c r="H11" s="59">
        <v>-115.20999999999998</v>
      </c>
      <c r="I11" s="59">
        <v>-2321892.8200000008</v>
      </c>
      <c r="J11" s="59">
        <v>-7999.1200000000008</v>
      </c>
      <c r="K11" s="59">
        <v>-3238304.4000000008</v>
      </c>
    </row>
    <row r="12" spans="2:11" ht="15" thickBot="1" x14ac:dyDescent="0.35">
      <c r="G12" s="60">
        <f t="shared" ref="G12:J12" si="0">SUM(G7:G11)</f>
        <v>-3069295.8599999994</v>
      </c>
      <c r="H12" s="60">
        <f t="shared" si="0"/>
        <v>-646.72</v>
      </c>
      <c r="I12" s="60">
        <f t="shared" si="0"/>
        <v>-9047157.5200000033</v>
      </c>
      <c r="J12" s="60">
        <f t="shared" si="0"/>
        <v>-30285.86</v>
      </c>
      <c r="K12" s="60">
        <f>SUM(K7:K11)</f>
        <v>-12147385.960000003</v>
      </c>
    </row>
  </sheetData>
  <pageMargins left="0.7" right="0.7" top="0.75" bottom="0.75" header="0.3" footer="0.3"/>
  <pageSetup orientation="portrait" verticalDpi="0" r:id="rId1"/>
  <headerFooter scaleWithDoc="0" alignWithMargins="0">
    <oddFooter>&amp;R&amp;"Arial,Bold"&amp;10&amp;A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A538-8321-4DE3-A9DB-EDA58ABDD617}">
  <dimension ref="B4:F23"/>
  <sheetViews>
    <sheetView tabSelected="1" workbookViewId="0">
      <selection sqref="A1:XFD1"/>
    </sheetView>
  </sheetViews>
  <sheetFormatPr defaultRowHeight="14.4" x14ac:dyDescent="0.3"/>
  <cols>
    <col min="2" max="2" customWidth="true" width="5.33203125" collapsed="false"/>
    <col min="3" max="3" bestFit="true" customWidth="true" width="24.0" collapsed="false"/>
    <col min="4" max="6" customWidth="true" width="16.5546875" collapsed="false"/>
  </cols>
  <sheetData>
    <row r="4" spans="2:6" x14ac:dyDescent="0.3">
      <c r="B4" t="s">
        <v>179</v>
      </c>
    </row>
    <row r="6" spans="2:6" x14ac:dyDescent="0.3">
      <c r="D6" s="63" t="s">
        <v>0</v>
      </c>
      <c r="E6" s="63" t="s">
        <v>1</v>
      </c>
      <c r="F6" s="63" t="s">
        <v>2</v>
      </c>
    </row>
    <row r="7" spans="2:6" ht="28.8" x14ac:dyDescent="0.3">
      <c r="D7" s="64" t="s">
        <v>180</v>
      </c>
      <c r="E7" s="64" t="s">
        <v>181</v>
      </c>
      <c r="F7" s="64" t="s">
        <v>182</v>
      </c>
    </row>
    <row r="9" spans="2:6" x14ac:dyDescent="0.3">
      <c r="B9" s="23">
        <v>1</v>
      </c>
      <c r="C9" t="s">
        <v>183</v>
      </c>
      <c r="D9" s="24">
        <v>43887</v>
      </c>
    </row>
    <row r="10" spans="2:6" x14ac:dyDescent="0.3">
      <c r="B10" s="23">
        <f>B9+1</f>
        <v>2</v>
      </c>
      <c r="C10" t="s">
        <v>139</v>
      </c>
      <c r="D10" s="24">
        <f>EOMONTH(D9,0)</f>
        <v>43890</v>
      </c>
      <c r="E10" s="25">
        <f t="shared" ref="E10:E20" si="0">_xlfn.DAYS(D10,$D$9)+1</f>
        <v>4</v>
      </c>
      <c r="F10" s="26">
        <f>E10/366</f>
        <v>1.092896174863388E-2</v>
      </c>
    </row>
    <row r="11" spans="2:6" x14ac:dyDescent="0.3">
      <c r="B11" s="23">
        <f t="shared" ref="B11:B20" si="1">B10+1</f>
        <v>3</v>
      </c>
      <c r="C11" s="24" t="s">
        <v>140</v>
      </c>
      <c r="D11" s="24">
        <f t="shared" ref="D11:D20" si="2">EOMONTH(D10,1)</f>
        <v>43921</v>
      </c>
      <c r="E11" s="25">
        <f t="shared" si="0"/>
        <v>35</v>
      </c>
      <c r="F11" s="26">
        <f t="shared" ref="F11:F20" si="3">E11/366</f>
        <v>9.5628415300546443E-2</v>
      </c>
    </row>
    <row r="12" spans="2:6" x14ac:dyDescent="0.3">
      <c r="B12" s="23">
        <f t="shared" si="1"/>
        <v>4</v>
      </c>
      <c r="C12" t="s">
        <v>141</v>
      </c>
      <c r="D12" s="24">
        <f t="shared" si="2"/>
        <v>43951</v>
      </c>
      <c r="E12" s="25">
        <f>_xlfn.DAYS(D12,$D$9)+1</f>
        <v>65</v>
      </c>
      <c r="F12" s="26">
        <f t="shared" si="3"/>
        <v>0.17759562841530055</v>
      </c>
    </row>
    <row r="13" spans="2:6" x14ac:dyDescent="0.3">
      <c r="B13" s="23">
        <f t="shared" si="1"/>
        <v>5</v>
      </c>
      <c r="C13" t="s">
        <v>142</v>
      </c>
      <c r="D13" s="24">
        <f t="shared" si="2"/>
        <v>43982</v>
      </c>
      <c r="E13" s="25">
        <f t="shared" si="0"/>
        <v>96</v>
      </c>
      <c r="F13" s="26">
        <f t="shared" si="3"/>
        <v>0.26229508196721313</v>
      </c>
    </row>
    <row r="14" spans="2:6" x14ac:dyDescent="0.3">
      <c r="B14" s="23">
        <f t="shared" si="1"/>
        <v>6</v>
      </c>
      <c r="C14" t="s">
        <v>143</v>
      </c>
      <c r="D14" s="24">
        <f t="shared" si="2"/>
        <v>44012</v>
      </c>
      <c r="E14" s="25">
        <f t="shared" si="0"/>
        <v>126</v>
      </c>
      <c r="F14" s="26">
        <f t="shared" si="3"/>
        <v>0.34426229508196721</v>
      </c>
    </row>
    <row r="15" spans="2:6" x14ac:dyDescent="0.3">
      <c r="B15" s="23">
        <f t="shared" si="1"/>
        <v>7</v>
      </c>
      <c r="C15" t="s">
        <v>184</v>
      </c>
      <c r="D15" s="24">
        <f t="shared" si="2"/>
        <v>44043</v>
      </c>
      <c r="E15" s="25">
        <f t="shared" si="0"/>
        <v>157</v>
      </c>
      <c r="F15" s="26">
        <f t="shared" si="3"/>
        <v>0.42896174863387976</v>
      </c>
    </row>
    <row r="16" spans="2:6" x14ac:dyDescent="0.3">
      <c r="B16" s="23">
        <f t="shared" si="1"/>
        <v>8</v>
      </c>
      <c r="C16" t="s">
        <v>185</v>
      </c>
      <c r="D16" s="24">
        <f t="shared" si="2"/>
        <v>44074</v>
      </c>
      <c r="E16" s="25">
        <f t="shared" si="0"/>
        <v>188</v>
      </c>
      <c r="F16" s="26">
        <f t="shared" si="3"/>
        <v>0.51366120218579236</v>
      </c>
    </row>
    <row r="17" spans="2:6" x14ac:dyDescent="0.3">
      <c r="B17" s="23">
        <f t="shared" si="1"/>
        <v>9</v>
      </c>
      <c r="C17" t="s">
        <v>186</v>
      </c>
      <c r="D17" s="24">
        <f t="shared" si="2"/>
        <v>44104</v>
      </c>
      <c r="E17" s="25">
        <f t="shared" si="0"/>
        <v>218</v>
      </c>
      <c r="F17" s="26">
        <f t="shared" si="3"/>
        <v>0.59562841530054644</v>
      </c>
    </row>
    <row r="18" spans="2:6" x14ac:dyDescent="0.3">
      <c r="B18" s="23">
        <f t="shared" si="1"/>
        <v>10</v>
      </c>
      <c r="C18" t="s">
        <v>187</v>
      </c>
      <c r="D18" s="24">
        <f t="shared" si="2"/>
        <v>44135</v>
      </c>
      <c r="E18" s="25">
        <f t="shared" si="0"/>
        <v>249</v>
      </c>
      <c r="F18" s="26">
        <f t="shared" si="3"/>
        <v>0.68032786885245899</v>
      </c>
    </row>
    <row r="19" spans="2:6" x14ac:dyDescent="0.3">
      <c r="B19" s="23">
        <f t="shared" si="1"/>
        <v>11</v>
      </c>
      <c r="C19" t="s">
        <v>188</v>
      </c>
      <c r="D19" s="24">
        <f t="shared" si="2"/>
        <v>44165</v>
      </c>
      <c r="E19" s="25">
        <f t="shared" si="0"/>
        <v>279</v>
      </c>
      <c r="F19" s="26">
        <f t="shared" si="3"/>
        <v>0.76229508196721307</v>
      </c>
    </row>
    <row r="20" spans="2:6" x14ac:dyDescent="0.3">
      <c r="B20" s="23">
        <f t="shared" si="1"/>
        <v>12</v>
      </c>
      <c r="C20" t="s">
        <v>189</v>
      </c>
      <c r="D20" s="24">
        <f t="shared" si="2"/>
        <v>44196</v>
      </c>
      <c r="E20" s="25">
        <f t="shared" si="0"/>
        <v>310</v>
      </c>
      <c r="F20" s="26">
        <f t="shared" si="3"/>
        <v>0.84699453551912574</v>
      </c>
    </row>
    <row r="23" spans="2:6" x14ac:dyDescent="0.3">
      <c r="B23" s="65" t="s">
        <v>190</v>
      </c>
    </row>
  </sheetData>
  <pageMargins left="0.7" right="0.7" top="0.75" bottom="0.75" header="0.3" footer="0.3"/>
  <pageSetup orientation="portrait" verticalDpi="0" r:id="rId1"/>
  <headerFooter scaleWithDoc="0" alignWithMargins="0">
    <oddFooter>&amp;R&amp;"Arial,Bold"&amp;10&amp;A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D9F1-4B10-49FD-A9C6-867E87C98D07}">
  <dimension ref="B3:F39"/>
  <sheetViews>
    <sheetView tabSelected="1" workbookViewId="0">
      <selection sqref="A1:XFD1"/>
    </sheetView>
  </sheetViews>
  <sheetFormatPr defaultColWidth="9.109375" defaultRowHeight="13.8" x14ac:dyDescent="0.25"/>
  <cols>
    <col min="1" max="1" customWidth="true" style="31" width="4.5546875" collapsed="false"/>
    <col min="2" max="2" bestFit="true" customWidth="true" style="31" width="33.109375" collapsed="false"/>
    <col min="3" max="3" bestFit="true" customWidth="true" style="31" width="10.5546875" collapsed="false"/>
    <col min="4" max="4" bestFit="true" customWidth="true" style="31" width="10.44140625" collapsed="false"/>
    <col min="5" max="16384" style="31" width="9.109375" collapsed="false"/>
  </cols>
  <sheetData>
    <row r="3" spans="2:6" x14ac:dyDescent="0.25">
      <c r="B3" s="31" t="s">
        <v>191</v>
      </c>
    </row>
    <row r="5" spans="2:6" x14ac:dyDescent="0.25">
      <c r="C5" s="32" t="s">
        <v>0</v>
      </c>
      <c r="D5" s="32" t="s">
        <v>1</v>
      </c>
    </row>
    <row r="6" spans="2:6" x14ac:dyDescent="0.25">
      <c r="B6" s="33" t="s">
        <v>192</v>
      </c>
      <c r="C6" s="34" t="s">
        <v>193</v>
      </c>
      <c r="D6" s="34" t="s">
        <v>194</v>
      </c>
    </row>
    <row r="7" spans="2:6" x14ac:dyDescent="0.25">
      <c r="B7" s="31" t="s">
        <v>195</v>
      </c>
      <c r="C7" s="35">
        <v>100000</v>
      </c>
      <c r="D7" s="35">
        <v>100000</v>
      </c>
    </row>
    <row r="8" spans="2:6" x14ac:dyDescent="0.25">
      <c r="B8" s="31" t="s">
        <v>196</v>
      </c>
      <c r="C8" s="35"/>
      <c r="D8" s="35">
        <f ca="1">-C18*50%</f>
        <v>-9357.9096617378964</v>
      </c>
    </row>
    <row r="9" spans="2:6" x14ac:dyDescent="0.25">
      <c r="B9" s="31" t="s">
        <v>197</v>
      </c>
      <c r="C9" s="35"/>
      <c r="D9" s="36">
        <f ca="1">SUM(D7:D8)</f>
        <v>90642.090338262104</v>
      </c>
    </row>
    <row r="10" spans="2:6" x14ac:dyDescent="0.25">
      <c r="B10" s="31" t="s">
        <v>198</v>
      </c>
      <c r="C10" s="35"/>
      <c r="D10" s="37">
        <v>0.12</v>
      </c>
    </row>
    <row r="11" spans="2:6" x14ac:dyDescent="0.25">
      <c r="B11" s="31" t="s">
        <v>199</v>
      </c>
      <c r="C11" s="35"/>
      <c r="D11" s="38">
        <f ca="1">D9*D10</f>
        <v>10877.050840591452</v>
      </c>
    </row>
    <row r="12" spans="2:6" x14ac:dyDescent="0.25">
      <c r="B12" s="31" t="s">
        <v>200</v>
      </c>
      <c r="C12" s="35"/>
      <c r="D12" s="38">
        <v>0</v>
      </c>
    </row>
    <row r="13" spans="2:6" ht="14.4" thickBot="1" x14ac:dyDescent="0.3">
      <c r="B13" s="31" t="s">
        <v>201</v>
      </c>
      <c r="C13" s="40">
        <f ca="1">-D13</f>
        <v>-10877.050840591452</v>
      </c>
      <c r="D13" s="41">
        <f ca="1">SUM(D11:D12)</f>
        <v>10877.050840591452</v>
      </c>
    </row>
    <row r="14" spans="2:6" ht="14.4" thickTop="1" x14ac:dyDescent="0.25">
      <c r="B14" s="31" t="s">
        <v>202</v>
      </c>
      <c r="C14" s="43">
        <f ca="1">SUM(C7:C13)</f>
        <v>89122.949159408541</v>
      </c>
      <c r="F14" s="39"/>
    </row>
    <row r="15" spans="2:6" x14ac:dyDescent="0.25">
      <c r="B15" s="31" t="s">
        <v>203</v>
      </c>
      <c r="C15" s="37">
        <v>0.21</v>
      </c>
      <c r="F15" s="42"/>
    </row>
    <row r="16" spans="2:6" x14ac:dyDescent="0.25">
      <c r="B16" s="31" t="s">
        <v>202</v>
      </c>
      <c r="C16" s="38">
        <f ca="1">C14*C15</f>
        <v>18715.819323475793</v>
      </c>
      <c r="F16" s="44"/>
    </row>
    <row r="17" spans="2:6" x14ac:dyDescent="0.25">
      <c r="B17" s="31" t="s">
        <v>204</v>
      </c>
      <c r="C17" s="38">
        <v>0</v>
      </c>
      <c r="F17" s="45"/>
    </row>
    <row r="18" spans="2:6" ht="14.4" thickBot="1" x14ac:dyDescent="0.3">
      <c r="B18" s="31" t="s">
        <v>205</v>
      </c>
      <c r="C18" s="41">
        <f ca="1">SUM(C16:C17)</f>
        <v>18715.819323475793</v>
      </c>
      <c r="D18" s="46"/>
    </row>
    <row r="19" spans="2:6" ht="14.4" thickTop="1" x14ac:dyDescent="0.25">
      <c r="B19" s="31" t="s">
        <v>206</v>
      </c>
      <c r="C19" s="47">
        <f ca="1">C18-C13</f>
        <v>29592.870164067244</v>
      </c>
      <c r="D19" s="30">
        <f ca="1">C19/100000</f>
        <v>0.29592870164067242</v>
      </c>
    </row>
    <row r="21" spans="2:6" x14ac:dyDescent="0.25">
      <c r="B21" s="31" t="s">
        <v>108</v>
      </c>
      <c r="D21" s="52">
        <f ca="1">1/(1-D19)</f>
        <v>1.4203107019562715</v>
      </c>
    </row>
    <row r="23" spans="2:6" x14ac:dyDescent="0.25">
      <c r="B23" s="31" t="s">
        <v>207</v>
      </c>
    </row>
    <row r="25" spans="2:6" x14ac:dyDescent="0.25">
      <c r="C25" s="32" t="s">
        <v>0</v>
      </c>
      <c r="D25" s="32" t="s">
        <v>1</v>
      </c>
    </row>
    <row r="26" spans="2:6" x14ac:dyDescent="0.25">
      <c r="B26" s="33" t="s">
        <v>208</v>
      </c>
      <c r="C26" s="34" t="s">
        <v>193</v>
      </c>
      <c r="D26" s="34" t="s">
        <v>194</v>
      </c>
    </row>
    <row r="27" spans="2:6" x14ac:dyDescent="0.25">
      <c r="B27" s="31" t="s">
        <v>195</v>
      </c>
      <c r="C27" s="35">
        <v>0</v>
      </c>
      <c r="D27" s="35">
        <v>0</v>
      </c>
    </row>
    <row r="28" spans="2:6" x14ac:dyDescent="0.25">
      <c r="B28" s="31" t="s">
        <v>196</v>
      </c>
      <c r="C28" s="35"/>
      <c r="D28" s="35">
        <f ca="1">-C38*50%</f>
        <v>50638.039295118491</v>
      </c>
    </row>
    <row r="29" spans="2:6" x14ac:dyDescent="0.25">
      <c r="B29" s="31" t="s">
        <v>197</v>
      </c>
      <c r="C29" s="35"/>
      <c r="D29" s="36">
        <f ca="1">SUM(D27:D28)</f>
        <v>50638.039295118491</v>
      </c>
    </row>
    <row r="30" spans="2:6" x14ac:dyDescent="0.25">
      <c r="B30" s="31" t="s">
        <v>198</v>
      </c>
      <c r="C30" s="35"/>
      <c r="D30" s="37">
        <v>0.12</v>
      </c>
    </row>
    <row r="31" spans="2:6" x14ac:dyDescent="0.25">
      <c r="B31" s="31" t="s">
        <v>199</v>
      </c>
      <c r="C31" s="35"/>
      <c r="D31" s="38">
        <f ca="1">D29*D30</f>
        <v>6076.5647154142189</v>
      </c>
    </row>
    <row r="32" spans="2:6" x14ac:dyDescent="0.25">
      <c r="B32" s="31" t="s">
        <v>200</v>
      </c>
      <c r="C32" s="35"/>
      <c r="D32" s="38">
        <v>0</v>
      </c>
    </row>
    <row r="33" spans="2:4" ht="14.4" thickBot="1" x14ac:dyDescent="0.3">
      <c r="B33" s="31" t="s">
        <v>201</v>
      </c>
      <c r="C33" s="40">
        <f ca="1">-D33</f>
        <v>-6076.5647154142189</v>
      </c>
      <c r="D33" s="41">
        <f ca="1">SUM(D31:D32)</f>
        <v>6076.5647154142189</v>
      </c>
    </row>
    <row r="34" spans="2:4" ht="14.4" thickTop="1" x14ac:dyDescent="0.25">
      <c r="B34" s="31" t="s">
        <v>202</v>
      </c>
      <c r="C34" s="43">
        <f ca="1">SUM(C27:C33)</f>
        <v>-6076.5647154142189</v>
      </c>
    </row>
    <row r="35" spans="2:4" x14ac:dyDescent="0.25">
      <c r="B35" s="31" t="s">
        <v>203</v>
      </c>
      <c r="C35" s="37">
        <v>0.21</v>
      </c>
    </row>
    <row r="36" spans="2:4" x14ac:dyDescent="0.25">
      <c r="B36" s="31" t="s">
        <v>202</v>
      </c>
      <c r="C36" s="38">
        <f ca="1">C34*C35</f>
        <v>-1276.078590236986</v>
      </c>
    </row>
    <row r="37" spans="2:4" x14ac:dyDescent="0.25">
      <c r="B37" s="31" t="s">
        <v>204</v>
      </c>
      <c r="C37" s="38">
        <v>-100000</v>
      </c>
    </row>
    <row r="38" spans="2:4" ht="14.4" thickBot="1" x14ac:dyDescent="0.3">
      <c r="B38" s="31" t="s">
        <v>205</v>
      </c>
      <c r="C38" s="41">
        <f ca="1">SUM(C36:C37)</f>
        <v>-101276.07859023698</v>
      </c>
      <c r="D38" s="46"/>
    </row>
    <row r="39" spans="2:4" ht="14.4" thickTop="1" x14ac:dyDescent="0.25">
      <c r="B39" s="31" t="s">
        <v>206</v>
      </c>
      <c r="C39" s="47">
        <f ca="1">C38-C33</f>
        <v>-95199.513874822762</v>
      </c>
      <c r="D39" s="30">
        <f ca="1">-C39/100000</f>
        <v>0.95199513874822761</v>
      </c>
    </row>
  </sheetData>
  <pageMargins left="0.7" right="0.7" top="0.75" bottom="0.75" header="0.3" footer="0.3"/>
  <pageSetup orientation="portrait" verticalDpi="0" r:id="rId1"/>
  <headerFooter scaleWithDoc="0" alignWithMargins="0">
    <oddFooter>&amp;R&amp;"Arial,Bold"&amp;10&amp;A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0c5bde-9865-41b8-b806-1e7e0a502139">
      <Value>1</Value>
    </TaxCatchAll>
    <md40aeec1bc647d491013609300676a5 xmlns="b90c5bde-9865-41b8-b806-1e7e0a50213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76af8b84-70a7-40bc-aaee-02820efb5254</TermId>
        </TermInfo>
      </Terms>
    </md40aeec1bc647d491013609300676a5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183DAFA83854F8C8BB06EEE2D2428" ma:contentTypeVersion="8" ma:contentTypeDescription="Create a new document." ma:contentTypeScope="" ma:versionID="450c047f8fd2ce1b5a8aba2e2ba378ef">
  <xsd:schema xmlns:xsd="http://www.w3.org/2001/XMLSchema" xmlns:xs="http://www.w3.org/2001/XMLSchema" xmlns:p="http://schemas.microsoft.com/office/2006/metadata/properties" xmlns:ns2="b90c5bde-9865-41b8-b806-1e7e0a502139" xmlns:ns3="ec498ab0-d0af-4fdb-a7c0-f86e03bdf126" xmlns:ns4="47ea116d-8d6b-40e9-936e-6b0997168297" targetNamespace="http://schemas.microsoft.com/office/2006/metadata/properties" ma:root="true" ma:fieldsID="585ff6bb014d87ab8070eeff9a6b22c2" ns2:_="" ns3:_="" ns4:_="">
    <xsd:import namespace="b90c5bde-9865-41b8-b806-1e7e0a502139"/>
    <xsd:import namespace="ec498ab0-d0af-4fdb-a7c0-f86e03bdf126"/>
    <xsd:import namespace="47ea116d-8d6b-40e9-936e-6b0997168297"/>
    <xsd:element name="properties">
      <xsd:complexType>
        <xsd:sequence>
          <xsd:element name="documentManagement">
            <xsd:complexType>
              <xsd:all>
                <xsd:element ref="ns2:md40aeec1bc647d491013609300676a5" minOccurs="0"/>
                <xsd:element ref="ns2:TaxCatchAll" minOccurs="0"/>
                <xsd:element ref="ns2:TaxCatchAll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c5bde-9865-41b8-b806-1e7e0a502139" elementFormDefault="qualified">
    <xsd:import namespace="http://schemas.microsoft.com/office/2006/documentManagement/types"/>
    <xsd:import namespace="http://schemas.microsoft.com/office/infopath/2007/PartnerControls"/>
    <xsd:element name="md40aeec1bc647d491013609300676a5" ma:index="8" nillable="true" ma:taxonomy="true" ma:internalName="md40aeec1bc647d491013609300676a5" ma:taxonomyFieldName="Data_x0020_Classifications" ma:displayName="Data Classifications" ma:default="1;#Confidential|76af8b84-70a7-40bc-aaee-02820efb5254" ma:fieldId="{6d40aeec-1bc6-47d4-9101-3609300676a5}" ma:sspId="9b26f778-5395-4a5a-9b28-b0027ce7e351" ma:termSetId="7bbbad2a-dbc0-4a88-aef7-4c99e3538bc9" ma:anchorId="dfa5421a-0da9-4d05-9eb5-072227d3d266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6d486cd-5c8b-42e0-bdfe-f9c7407e2e60}" ma:internalName="TaxCatchAll" ma:showField="CatchAllData" ma:web="ec498ab0-d0af-4fdb-a7c0-f86e03bdf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d486cd-5c8b-42e0-bdfe-f9c7407e2e60}" ma:internalName="TaxCatchAllLabel" ma:readOnly="true" ma:showField="CatchAllDataLabel" ma:web="ec498ab0-d0af-4fdb-a7c0-f86e03bdf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98ab0-d0af-4fdb-a7c0-f86e03bdf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a116d-8d6b-40e9-936e-6b0997168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b26f778-5395-4a5a-9b28-b0027ce7e351" ContentTypeId="0x0101" PreviousValue="false"/>
</file>

<file path=customXml/itemProps1.xml><?xml version="1.0" encoding="utf-8"?>
<ds:datastoreItem xmlns:ds="http://schemas.openxmlformats.org/officeDocument/2006/customXml" ds:itemID="{CAD9E92A-B9EF-4254-B598-4F1EF2C02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E37DD9-26BB-4B09-9FE9-DC4700227767}">
  <ds:schemaRefs>
    <ds:schemaRef ds:uri="http://schemas.microsoft.com/office/2006/metadata/properties"/>
    <ds:schemaRef ds:uri="http://schemas.microsoft.com/office/infopath/2007/PartnerControls"/>
    <ds:schemaRef ds:uri="b90c5bde-9865-41b8-b806-1e7e0a502139"/>
  </ds:schemaRefs>
</ds:datastoreItem>
</file>

<file path=customXml/itemProps3.xml><?xml version="1.0" encoding="utf-8"?>
<ds:datastoreItem xmlns:ds="http://schemas.openxmlformats.org/officeDocument/2006/customXml" ds:itemID="{FA814926-8696-4F45-AB9C-394E33A0D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0c5bde-9865-41b8-b806-1e7e0a502139"/>
    <ds:schemaRef ds:uri="ec498ab0-d0af-4fdb-a7c0-f86e03bdf126"/>
    <ds:schemaRef ds:uri="47ea116d-8d6b-40e9-936e-6b09971682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FF1D5D-7228-40F4-909A-D6069CEF862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Sch. A - Summary</vt:lpstr>
      <vt:lpstr>Sch. B - Rate Base</vt:lpstr>
      <vt:lpstr>Sch. C - Cost of Service</vt:lpstr>
      <vt:lpstr>WP 1 - MWh Sales</vt:lpstr>
      <vt:lpstr>WP 2 - YTD RER Rev.</vt:lpstr>
      <vt:lpstr>WP 3 - 2020 Calendarization</vt:lpstr>
      <vt:lpstr>WP 4- Tax Rates</vt:lpstr>
      <vt:lpstr>'Sch. A - Summary'!Print_Area</vt:lpstr>
      <vt:lpstr>'Sch. B - Rate Base'!Print_Area</vt:lpstr>
      <vt:lpstr>'Sch. C - Cost of Service'!Print_Area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2020-05-06T21:14:13Z</dcterms:created>
  <dc:creator>Ashenfelter, Logan</dc:creator>
  <cp:lastModifiedBy>Tonya Bender</cp:lastModifiedBy>
  <dcterms:modified xsi:type="dcterms:W3CDTF">2020-08-31T17:07:17Z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0x0101007BB183DAFA83854F8C8BB06EEE2D2428</vt:lpwstr>
  </property>
  <property fmtid="{D5CDD505-2E9C-101B-9397-08002B2CF9AE}" pid="3" name="Data Classifications">
    <vt:lpwstr>1;#Confidential|76af8b84-70a7-40bc-aaee-02820efb5254</vt:lpwstr>
  </property>
</Properties>
</file>