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customProperty" PartName="/xl/customProperty3.bin"/>
  <Override ContentType="application/vnd.openxmlformats-officedocument.spreadsheetml.customProperty" PartName="/xl/customProperty4.bin"/>
  <Override ContentType="application/vnd.openxmlformats-officedocument.spreadsheetml.customProperty" PartName="/xl/customProperty5.bin"/>
  <Override ContentType="application/vnd.openxmlformats-officedocument.spreadsheetml.customProperty" PartName="/xl/customProperty6.bin"/>
  <Override ContentType="application/vnd.openxmlformats-officedocument.spreadsheetml.customProperty" PartName="/xl/customProperty7.bin"/>
  <Override ContentType="application/vnd.openxmlformats-officedocument.spreadsheetml.customProperty" PartName="/xl/customProperty8.bin"/>
  <Override ContentType="application/vnd.openxmlformats-officedocument.spreadsheetml.customProperty" PartName="/xl/customProperty9.bin"/>
  <Override ContentType="application/vnd.openxmlformats-officedocument.spreadsheetml.customProperty" PartName="/xl/customProperty10.bin"/>
  <Override ContentType="application/vnd.openxmlformats-officedocument.spreadsheetml.customProperty" PartName="/xl/customProperty11.bin"/>
  <Override ContentType="application/vnd.openxmlformats-officedocument.spreadsheetml.customProperty" PartName="/xl/customProperty12.bin"/>
  <Override ContentType="application/vnd.openxmlformats-officedocument.spreadsheetml.customProperty" PartName="/xl/customProperty13.bin"/>
  <Override ContentType="application/vnd.openxmlformats-officedocument.spreadsheetml.customProperty" PartName="/xl/customProperty14.bin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>
    <mc:Choice Requires="x15">
      <x15ac:absPath xmlns:x15ac="http://schemas.microsoft.com/office/spreadsheetml/2010/11/ac" url="https://amwater.sharepoint.com/sites/sers/IA/General Rate Cases/Petition - RPU-2020-0001/Compliance Filing 9-23-2021/"/>
    </mc:Choice>
  </mc:AlternateContent>
  <xr:revisionPtr revIDLastSave="5" documentId="13_ncr:1_{B0C8DDF9-0FD3-4777-B0D6-6C5FBD324DE0}" xr6:coauthVersionLast="47" xr6:coauthVersionMax="47" xr10:uidLastSave="{15408CE8-CA2E-4983-A2D8-6726E403B0AB}"/>
  <bookViews>
    <workbookView xWindow="-120" yWindow="-120" windowWidth="29040" windowHeight="15840" tabRatio="925" xr2:uid="{00000000-000D-0000-FFFF-FFFF00000000}"/>
  </bookViews>
  <sheets>
    <sheet name="Summary" sheetId="20" r:id="rId1"/>
    <sheet name="Account Detail" sheetId="16" r:id="rId2"/>
    <sheet name="Usage Statistics" sheetId="19" r:id="rId3"/>
    <sheet name="Class Allocators" sheetId="18" r:id="rId4"/>
    <sheet name="Allocator Summary" sheetId="17" r:id="rId5"/>
    <sheet name="Support &gt;&gt;" sheetId="23" r:id="rId6"/>
    <sheet name="COSS Step 1" sheetId="4" r:id="rId7"/>
    <sheet name="LinkFromRevenues" sheetId="21" r:id="rId8"/>
    <sheet name="LinkFromRateBase" sheetId="12" r:id="rId9"/>
    <sheet name="LinkFromProFormaIS" sheetId="8" r:id="rId10"/>
    <sheet name="QIP Allocator" sheetId="25" r:id="rId11"/>
    <sheet name="IA NARUC Table" sheetId="5" r:id="rId12"/>
    <sheet name="COA" sheetId="7" r:id="rId13"/>
    <sheet name="SystemDelivery" sheetId="24" r:id="rId14"/>
  </sheets>
  <definedNames>
    <definedName name="_xlnm._FilterDatabase" localSheetId="1" hidden="1">'Account Detail'!$A$5:$S$147</definedName>
    <definedName name="_xlnm._FilterDatabase" localSheetId="6" hidden="1">'COSS Step 1'!$B$118:$U$152</definedName>
    <definedName name="_xlnm._FilterDatabase" localSheetId="11" hidden="1">'IA NARUC Table'!$A$9:$J$2156</definedName>
    <definedName name="_xlnm._FilterDatabase" localSheetId="9" hidden="1">LinkFromProFormaIS!$B$6:$K$365</definedName>
    <definedName name="_xlnm._FilterDatabase" localSheetId="8" hidden="1">LinkFromRateBase!$B$7:$I$78</definedName>
    <definedName name="_xlnm._FilterDatabase" localSheetId="13" hidden="1">SystemDelivery!$B$11:$H$34</definedName>
    <definedName name="Bedminster">#REF!</definedName>
    <definedName name="Bedminster2">#REF!</definedName>
    <definedName name="d">#REF!</definedName>
    <definedName name="hi">#REF!</definedName>
    <definedName name="MHPresent">#REF!</definedName>
    <definedName name="MHPresent2">#REF!</definedName>
    <definedName name="MHProposed">#REF!</definedName>
    <definedName name="MHProposed2">#REF!</definedName>
    <definedName name="Present">#REF!</definedName>
    <definedName name="Present1">#REF!</definedName>
    <definedName name="_xlnm.Print_Area" localSheetId="1">'Account Detail'!$A$1:$S$467</definedName>
    <definedName name="_xlnm.Print_Area" localSheetId="3">'Class Allocators'!$A$1:$K$132</definedName>
    <definedName name="_xlnm.Print_Area" localSheetId="0">Summary!$A$1:$O$47</definedName>
    <definedName name="_xlnm.Print_Titles" localSheetId="1">'Account Detail'!$2:$5</definedName>
    <definedName name="_xlnm.Print_Titles" localSheetId="3">'Class Allocators'!$2:$4</definedName>
    <definedName name="Proposed">#REF!</definedName>
    <definedName name="Proposed1">#REF!</definedName>
    <definedName name="SAPCrosstab1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1" l="1"/>
  <c r="M11" i="21"/>
  <c r="L11" i="21"/>
  <c r="N25" i="21"/>
  <c r="N23" i="21"/>
  <c r="N22" i="21"/>
  <c r="N21" i="21"/>
  <c r="O11" i="21"/>
  <c r="K11" i="21" l="1"/>
  <c r="E306" i="16"/>
  <c r="E304" i="16" l="1"/>
  <c r="G76" i="12" l="1"/>
  <c r="G424" i="16" l="1"/>
  <c r="G423" i="16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36" i="16"/>
  <c r="G435" i="16"/>
  <c r="G434" i="16"/>
  <c r="G433" i="16"/>
  <c r="G432" i="16"/>
  <c r="G431" i="16"/>
  <c r="G430" i="16"/>
  <c r="G429" i="16"/>
  <c r="G428" i="16"/>
  <c r="G427" i="16"/>
  <c r="G426" i="16"/>
  <c r="E437" i="16"/>
  <c r="H100" i="12" l="1"/>
  <c r="G90" i="12" s="1"/>
  <c r="E415" i="16" s="1"/>
  <c r="H114" i="12"/>
  <c r="G103" i="12" s="1"/>
  <c r="E426" i="16" s="1"/>
  <c r="G89" i="12" l="1"/>
  <c r="E414" i="16" s="1"/>
  <c r="G94" i="12"/>
  <c r="E419" i="16" s="1"/>
  <c r="G99" i="12"/>
  <c r="E424" i="16" s="1"/>
  <c r="G86" i="12"/>
  <c r="E411" i="16" s="1"/>
  <c r="G93" i="12"/>
  <c r="E418" i="16" s="1"/>
  <c r="G98" i="12"/>
  <c r="E423" i="16" s="1"/>
  <c r="G91" i="12"/>
  <c r="E416" i="16" s="1"/>
  <c r="G96" i="12"/>
  <c r="E421" i="16" s="1"/>
  <c r="G97" i="12"/>
  <c r="E422" i="16" s="1"/>
  <c r="G88" i="12"/>
  <c r="E413" i="16" s="1"/>
  <c r="G92" i="12"/>
  <c r="E417" i="16" s="1"/>
  <c r="G95" i="12"/>
  <c r="E420" i="16" s="1"/>
  <c r="G87" i="12"/>
  <c r="E412" i="16" s="1"/>
  <c r="G113" i="12"/>
  <c r="E436" i="16" s="1"/>
  <c r="G108" i="12"/>
  <c r="E431" i="16" s="1"/>
  <c r="G104" i="12"/>
  <c r="E427" i="16" s="1"/>
  <c r="G107" i="12"/>
  <c r="E430" i="16" s="1"/>
  <c r="G112" i="12"/>
  <c r="E435" i="16" s="1"/>
  <c r="G106" i="12"/>
  <c r="E429" i="16" s="1"/>
  <c r="G105" i="12"/>
  <c r="E428" i="16" s="1"/>
  <c r="G109" i="12"/>
  <c r="E432" i="16" s="1"/>
  <c r="G110" i="12"/>
  <c r="E433" i="16" s="1"/>
  <c r="G111" i="12"/>
  <c r="E434" i="16" s="1"/>
  <c r="G110" i="18" l="1"/>
  <c r="G109" i="18"/>
  <c r="G108" i="18"/>
  <c r="G107" i="18"/>
  <c r="G117" i="18"/>
  <c r="G116" i="18"/>
  <c r="G115" i="18"/>
  <c r="G114" i="18"/>
  <c r="G113" i="18"/>
  <c r="G112" i="18"/>
  <c r="G111" i="18"/>
  <c r="I19" i="19" l="1"/>
  <c r="H19" i="19"/>
  <c r="H11" i="19"/>
  <c r="G309" i="16" l="1"/>
  <c r="G158" i="16" l="1"/>
  <c r="C54" i="19" l="1"/>
  <c r="H30" i="24" l="1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32" i="24" l="1"/>
  <c r="H33" i="24"/>
  <c r="H34" i="24"/>
  <c r="H31" i="24"/>
  <c r="G11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C50" i="19"/>
  <c r="C49" i="19"/>
  <c r="I11" i="19" l="1"/>
  <c r="M20" i="21" l="1"/>
  <c r="N20" i="21" s="1"/>
  <c r="G272" i="16" l="1"/>
  <c r="D39" i="19" l="1"/>
  <c r="E39" i="19"/>
  <c r="F39" i="19"/>
  <c r="G39" i="19"/>
  <c r="D40" i="19"/>
  <c r="E40" i="19"/>
  <c r="F40" i="19"/>
  <c r="G40" i="19"/>
  <c r="C39" i="19"/>
  <c r="C40" i="19"/>
  <c r="H7" i="19"/>
  <c r="G443" i="16"/>
  <c r="G442" i="16"/>
  <c r="F100" i="18" l="1"/>
  <c r="F118" i="18"/>
  <c r="F99" i="18"/>
  <c r="F117" i="18"/>
  <c r="E100" i="18"/>
  <c r="E118" i="18"/>
  <c r="E117" i="18"/>
  <c r="E99" i="18"/>
  <c r="B118" i="18"/>
  <c r="B100" i="18"/>
  <c r="D118" i="18"/>
  <c r="D100" i="18"/>
  <c r="D117" i="18"/>
  <c r="D99" i="18"/>
  <c r="B117" i="18"/>
  <c r="B99" i="18"/>
  <c r="C100" i="18"/>
  <c r="C118" i="18"/>
  <c r="C99" i="18"/>
  <c r="C117" i="18"/>
  <c r="G363" i="16" l="1"/>
  <c r="G362" i="16"/>
  <c r="G361" i="16"/>
  <c r="G360" i="16"/>
  <c r="G304" i="16" l="1"/>
  <c r="S304" i="16"/>
  <c r="G287" i="16"/>
  <c r="G286" i="16"/>
  <c r="G229" i="16"/>
  <c r="G230" i="16"/>
  <c r="G82" i="16"/>
  <c r="G27" i="16"/>
  <c r="F252" i="4"/>
  <c r="F251" i="4" l="1"/>
  <c r="E272" i="16"/>
  <c r="F259" i="4" l="1"/>
  <c r="E280" i="16" s="1"/>
  <c r="F258" i="4"/>
  <c r="E279" i="16" s="1"/>
  <c r="F257" i="4" l="1"/>
  <c r="F261" i="4" l="1"/>
  <c r="E278" i="16"/>
  <c r="E439" i="16" l="1"/>
  <c r="E438" i="16"/>
  <c r="F98" i="4"/>
  <c r="F104" i="4" l="1"/>
  <c r="E404" i="16"/>
  <c r="F113" i="4"/>
  <c r="F111" i="4"/>
  <c r="F112" i="4"/>
  <c r="F105" i="4"/>
  <c r="E405" i="16"/>
  <c r="F106" i="4"/>
  <c r="F110" i="4"/>
  <c r="F114" i="4"/>
  <c r="F107" i="4"/>
  <c r="E406" i="16"/>
  <c r="J74" i="12"/>
  <c r="J75" i="12" l="1"/>
  <c r="E443" i="16" s="1"/>
  <c r="F96" i="4"/>
  <c r="E442" i="16"/>
  <c r="F97" i="4" l="1"/>
  <c r="J73" i="12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10" i="5"/>
  <c r="E73" i="12" s="1"/>
  <c r="E11" i="12" l="1"/>
  <c r="E15" i="12"/>
  <c r="E19" i="12"/>
  <c r="E23" i="12"/>
  <c r="E27" i="12"/>
  <c r="E31" i="12"/>
  <c r="E39" i="12"/>
  <c r="E43" i="12"/>
  <c r="E47" i="12"/>
  <c r="E51" i="12"/>
  <c r="E55" i="12"/>
  <c r="E59" i="12"/>
  <c r="E63" i="12"/>
  <c r="E67" i="12"/>
  <c r="E71" i="12"/>
  <c r="E12" i="12"/>
  <c r="E16" i="12"/>
  <c r="E20" i="12"/>
  <c r="E24" i="12"/>
  <c r="E28" i="12"/>
  <c r="E32" i="12"/>
  <c r="E40" i="12"/>
  <c r="E44" i="12"/>
  <c r="E48" i="12"/>
  <c r="E52" i="12"/>
  <c r="E56" i="12"/>
  <c r="E60" i="12"/>
  <c r="E64" i="12"/>
  <c r="E68" i="12"/>
  <c r="E72" i="12"/>
  <c r="E69" i="12"/>
  <c r="E61" i="12"/>
  <c r="E45" i="12"/>
  <c r="E25" i="12"/>
  <c r="E9" i="12"/>
  <c r="E8" i="12"/>
  <c r="E66" i="12"/>
  <c r="E58" i="12"/>
  <c r="E50" i="12"/>
  <c r="E42" i="12"/>
  <c r="E30" i="12"/>
  <c r="E22" i="12"/>
  <c r="E14" i="12"/>
  <c r="E53" i="12"/>
  <c r="E37" i="12"/>
  <c r="E17" i="12"/>
  <c r="E65" i="12"/>
  <c r="E57" i="12"/>
  <c r="E49" i="12"/>
  <c r="E41" i="12"/>
  <c r="E29" i="12"/>
  <c r="E21" i="12"/>
  <c r="E13" i="12"/>
  <c r="E70" i="12"/>
  <c r="E62" i="12"/>
  <c r="E54" i="12"/>
  <c r="E46" i="12"/>
  <c r="E38" i="12"/>
  <c r="E26" i="12"/>
  <c r="E18" i="12"/>
  <c r="E10" i="12"/>
  <c r="H166" i="4" l="1"/>
  <c r="H165" i="4"/>
  <c r="L165" i="4"/>
  <c r="P165" i="4"/>
  <c r="T165" i="4"/>
  <c r="J166" i="4"/>
  <c r="N166" i="4"/>
  <c r="R166" i="4"/>
  <c r="H168" i="4"/>
  <c r="L168" i="4"/>
  <c r="P168" i="4"/>
  <c r="T168" i="4"/>
  <c r="J169" i="4"/>
  <c r="N169" i="4"/>
  <c r="R169" i="4"/>
  <c r="H170" i="4"/>
  <c r="L170" i="4"/>
  <c r="P170" i="4"/>
  <c r="T170" i="4"/>
  <c r="J171" i="4"/>
  <c r="N171" i="4"/>
  <c r="R171" i="4"/>
  <c r="H172" i="4"/>
  <c r="L172" i="4"/>
  <c r="P172" i="4"/>
  <c r="T172" i="4"/>
  <c r="J173" i="4"/>
  <c r="N173" i="4"/>
  <c r="R173" i="4"/>
  <c r="H175" i="4"/>
  <c r="L175" i="4"/>
  <c r="P175" i="4"/>
  <c r="T175" i="4"/>
  <c r="J176" i="4"/>
  <c r="N176" i="4"/>
  <c r="R176" i="4"/>
  <c r="H177" i="4"/>
  <c r="L177" i="4"/>
  <c r="P177" i="4"/>
  <c r="T177" i="4"/>
  <c r="J178" i="4"/>
  <c r="N178" i="4"/>
  <c r="R178" i="4"/>
  <c r="H179" i="4"/>
  <c r="L179" i="4"/>
  <c r="P179" i="4"/>
  <c r="T179" i="4"/>
  <c r="J180" i="4"/>
  <c r="N180" i="4"/>
  <c r="R180" i="4"/>
  <c r="H182" i="4"/>
  <c r="L182" i="4"/>
  <c r="P182" i="4"/>
  <c r="T182" i="4"/>
  <c r="J183" i="4"/>
  <c r="N183" i="4"/>
  <c r="R183" i="4"/>
  <c r="H184" i="4"/>
  <c r="L184" i="4"/>
  <c r="P184" i="4"/>
  <c r="T184" i="4"/>
  <c r="J185" i="4"/>
  <c r="N185" i="4"/>
  <c r="R185" i="4"/>
  <c r="H186" i="4"/>
  <c r="L186" i="4"/>
  <c r="P186" i="4"/>
  <c r="T186" i="4"/>
  <c r="J187" i="4"/>
  <c r="N187" i="4"/>
  <c r="R187" i="4"/>
  <c r="H188" i="4"/>
  <c r="L188" i="4"/>
  <c r="P188" i="4"/>
  <c r="T188" i="4"/>
  <c r="J190" i="4"/>
  <c r="N190" i="4"/>
  <c r="R190" i="4"/>
  <c r="H191" i="4"/>
  <c r="L191" i="4"/>
  <c r="P191" i="4"/>
  <c r="T191" i="4"/>
  <c r="J192" i="4"/>
  <c r="N192" i="4"/>
  <c r="R192" i="4"/>
  <c r="H193" i="4"/>
  <c r="I165" i="4"/>
  <c r="J165" i="4"/>
  <c r="N165" i="4"/>
  <c r="R165" i="4"/>
  <c r="L166" i="4"/>
  <c r="P166" i="4"/>
  <c r="T166" i="4"/>
  <c r="J168" i="4"/>
  <c r="N168" i="4"/>
  <c r="R168" i="4"/>
  <c r="H169" i="4"/>
  <c r="L169" i="4"/>
  <c r="P169" i="4"/>
  <c r="T169" i="4"/>
  <c r="J170" i="4"/>
  <c r="N170" i="4"/>
  <c r="R170" i="4"/>
  <c r="H171" i="4"/>
  <c r="L171" i="4"/>
  <c r="P171" i="4"/>
  <c r="T171" i="4"/>
  <c r="J172" i="4"/>
  <c r="N172" i="4"/>
  <c r="R172" i="4"/>
  <c r="H173" i="4"/>
  <c r="L173" i="4"/>
  <c r="P173" i="4"/>
  <c r="T173" i="4"/>
  <c r="J175" i="4"/>
  <c r="N175" i="4"/>
  <c r="R175" i="4"/>
  <c r="H176" i="4"/>
  <c r="L176" i="4"/>
  <c r="P176" i="4"/>
  <c r="T176" i="4"/>
  <c r="J177" i="4"/>
  <c r="N177" i="4"/>
  <c r="R177" i="4"/>
  <c r="H178" i="4"/>
  <c r="L178" i="4"/>
  <c r="P178" i="4"/>
  <c r="T178" i="4"/>
  <c r="J179" i="4"/>
  <c r="N179" i="4"/>
  <c r="R179" i="4"/>
  <c r="H180" i="4"/>
  <c r="L180" i="4"/>
  <c r="P180" i="4"/>
  <c r="T180" i="4"/>
  <c r="J182" i="4"/>
  <c r="N182" i="4"/>
  <c r="R182" i="4"/>
  <c r="H183" i="4"/>
  <c r="L183" i="4"/>
  <c r="P183" i="4"/>
  <c r="T183" i="4"/>
  <c r="J184" i="4"/>
  <c r="N184" i="4"/>
  <c r="R184" i="4"/>
  <c r="H185" i="4"/>
  <c r="L185" i="4"/>
  <c r="P185" i="4"/>
  <c r="T185" i="4"/>
  <c r="J186" i="4"/>
  <c r="N186" i="4"/>
  <c r="R186" i="4"/>
  <c r="K165" i="4"/>
  <c r="O165" i="4"/>
  <c r="S165" i="4"/>
  <c r="I166" i="4"/>
  <c r="M166" i="4"/>
  <c r="Q166" i="4"/>
  <c r="U166" i="4"/>
  <c r="K168" i="4"/>
  <c r="O168" i="4"/>
  <c r="S168" i="4"/>
  <c r="I169" i="4"/>
  <c r="M169" i="4"/>
  <c r="Q169" i="4"/>
  <c r="U169" i="4"/>
  <c r="K170" i="4"/>
  <c r="O170" i="4"/>
  <c r="S170" i="4"/>
  <c r="I171" i="4"/>
  <c r="M171" i="4"/>
  <c r="Q171" i="4"/>
  <c r="U171" i="4"/>
  <c r="K172" i="4"/>
  <c r="O172" i="4"/>
  <c r="S172" i="4"/>
  <c r="I173" i="4"/>
  <c r="M173" i="4"/>
  <c r="Q173" i="4"/>
  <c r="U173" i="4"/>
  <c r="K175" i="4"/>
  <c r="O175" i="4"/>
  <c r="S175" i="4"/>
  <c r="I176" i="4"/>
  <c r="M176" i="4"/>
  <c r="Q176" i="4"/>
  <c r="U176" i="4"/>
  <c r="K177" i="4"/>
  <c r="O177" i="4"/>
  <c r="S177" i="4"/>
  <c r="I178" i="4"/>
  <c r="M178" i="4"/>
  <c r="Q178" i="4"/>
  <c r="U178" i="4"/>
  <c r="K179" i="4"/>
  <c r="O179" i="4"/>
  <c r="S179" i="4"/>
  <c r="I180" i="4"/>
  <c r="M180" i="4"/>
  <c r="Q180" i="4"/>
  <c r="U180" i="4"/>
  <c r="M165" i="4"/>
  <c r="O166" i="4"/>
  <c r="Q168" i="4"/>
  <c r="S169" i="4"/>
  <c r="U170" i="4"/>
  <c r="I172" i="4"/>
  <c r="K173" i="4"/>
  <c r="M175" i="4"/>
  <c r="O176" i="4"/>
  <c r="Q177" i="4"/>
  <c r="S178" i="4"/>
  <c r="U179" i="4"/>
  <c r="I182" i="4"/>
  <c r="Q182" i="4"/>
  <c r="K183" i="4"/>
  <c r="S183" i="4"/>
  <c r="M184" i="4"/>
  <c r="U184" i="4"/>
  <c r="O185" i="4"/>
  <c r="I186" i="4"/>
  <c r="Q186" i="4"/>
  <c r="I187" i="4"/>
  <c r="O187" i="4"/>
  <c r="T187" i="4"/>
  <c r="K188" i="4"/>
  <c r="Q188" i="4"/>
  <c r="H190" i="4"/>
  <c r="M190" i="4"/>
  <c r="S190" i="4"/>
  <c r="J191" i="4"/>
  <c r="O191" i="4"/>
  <c r="U191" i="4"/>
  <c r="L192" i="4"/>
  <c r="Q192" i="4"/>
  <c r="I193" i="4"/>
  <c r="M193" i="4"/>
  <c r="Q193" i="4"/>
  <c r="U193" i="4"/>
  <c r="K194" i="4"/>
  <c r="O194" i="4"/>
  <c r="S194" i="4"/>
  <c r="I195" i="4"/>
  <c r="M195" i="4"/>
  <c r="Q195" i="4"/>
  <c r="U195" i="4"/>
  <c r="K196" i="4"/>
  <c r="O196" i="4"/>
  <c r="S196" i="4"/>
  <c r="I197" i="4"/>
  <c r="M197" i="4"/>
  <c r="Q197" i="4"/>
  <c r="U197" i="4"/>
  <c r="K199" i="4"/>
  <c r="O199" i="4"/>
  <c r="S199" i="4"/>
  <c r="I200" i="4"/>
  <c r="M200" i="4"/>
  <c r="Q200" i="4"/>
  <c r="U200" i="4"/>
  <c r="K201" i="4"/>
  <c r="O201" i="4"/>
  <c r="S201" i="4"/>
  <c r="I202" i="4"/>
  <c r="M202" i="4"/>
  <c r="Q202" i="4"/>
  <c r="U202" i="4"/>
  <c r="K203" i="4"/>
  <c r="O203" i="4"/>
  <c r="S203" i="4"/>
  <c r="K206" i="4"/>
  <c r="O206" i="4"/>
  <c r="S206" i="4"/>
  <c r="I207" i="4"/>
  <c r="M207" i="4"/>
  <c r="Q207" i="4"/>
  <c r="U207" i="4"/>
  <c r="K208" i="4"/>
  <c r="O208" i="4"/>
  <c r="S208" i="4"/>
  <c r="I209" i="4"/>
  <c r="M209" i="4"/>
  <c r="Q209" i="4"/>
  <c r="U209" i="4"/>
  <c r="K210" i="4"/>
  <c r="O210" i="4"/>
  <c r="S210" i="4"/>
  <c r="I212" i="4"/>
  <c r="M212" i="4"/>
  <c r="Q212" i="4"/>
  <c r="U212" i="4"/>
  <c r="K213" i="4"/>
  <c r="O213" i="4"/>
  <c r="S213" i="4"/>
  <c r="I215" i="4"/>
  <c r="Q165" i="4"/>
  <c r="S166" i="4"/>
  <c r="U168" i="4"/>
  <c r="I170" i="4"/>
  <c r="K171" i="4"/>
  <c r="M172" i="4"/>
  <c r="O173" i="4"/>
  <c r="Q175" i="4"/>
  <c r="S176" i="4"/>
  <c r="U177" i="4"/>
  <c r="I179" i="4"/>
  <c r="K180" i="4"/>
  <c r="K182" i="4"/>
  <c r="S182" i="4"/>
  <c r="M183" i="4"/>
  <c r="U183" i="4"/>
  <c r="O184" i="4"/>
  <c r="I185" i="4"/>
  <c r="Q185" i="4"/>
  <c r="K186" i="4"/>
  <c r="S186" i="4"/>
  <c r="K187" i="4"/>
  <c r="P187" i="4"/>
  <c r="U187" i="4"/>
  <c r="M188" i="4"/>
  <c r="R188" i="4"/>
  <c r="I190" i="4"/>
  <c r="O190" i="4"/>
  <c r="T190" i="4"/>
  <c r="K191" i="4"/>
  <c r="Q191" i="4"/>
  <c r="H192" i="4"/>
  <c r="M192" i="4"/>
  <c r="S192" i="4"/>
  <c r="J193" i="4"/>
  <c r="N193" i="4"/>
  <c r="R193" i="4"/>
  <c r="H194" i="4"/>
  <c r="L194" i="4"/>
  <c r="P194" i="4"/>
  <c r="T194" i="4"/>
  <c r="J195" i="4"/>
  <c r="N195" i="4"/>
  <c r="R195" i="4"/>
  <c r="H196" i="4"/>
  <c r="L196" i="4"/>
  <c r="P196" i="4"/>
  <c r="U165" i="4"/>
  <c r="I168" i="4"/>
  <c r="K169" i="4"/>
  <c r="M170" i="4"/>
  <c r="O171" i="4"/>
  <c r="Q172" i="4"/>
  <c r="S173" i="4"/>
  <c r="U175" i="4"/>
  <c r="I177" i="4"/>
  <c r="K178" i="4"/>
  <c r="M179" i="4"/>
  <c r="O180" i="4"/>
  <c r="M182" i="4"/>
  <c r="U182" i="4"/>
  <c r="O183" i="4"/>
  <c r="I184" i="4"/>
  <c r="Q184" i="4"/>
  <c r="K185" i="4"/>
  <c r="S185" i="4"/>
  <c r="M186" i="4"/>
  <c r="U186" i="4"/>
  <c r="L187" i="4"/>
  <c r="Q187" i="4"/>
  <c r="I188" i="4"/>
  <c r="N188" i="4"/>
  <c r="S188" i="4"/>
  <c r="K190" i="4"/>
  <c r="P190" i="4"/>
  <c r="U190" i="4"/>
  <c r="M191" i="4"/>
  <c r="R191" i="4"/>
  <c r="I192" i="4"/>
  <c r="O192" i="4"/>
  <c r="T192" i="4"/>
  <c r="K193" i="4"/>
  <c r="O193" i="4"/>
  <c r="S193" i="4"/>
  <c r="I194" i="4"/>
  <c r="M194" i="4"/>
  <c r="Q194" i="4"/>
  <c r="U194" i="4"/>
  <c r="K195" i="4"/>
  <c r="O195" i="4"/>
  <c r="S195" i="4"/>
  <c r="I196" i="4"/>
  <c r="M196" i="4"/>
  <c r="Q196" i="4"/>
  <c r="U196" i="4"/>
  <c r="K197" i="4"/>
  <c r="O197" i="4"/>
  <c r="S197" i="4"/>
  <c r="I199" i="4"/>
  <c r="M199" i="4"/>
  <c r="Q199" i="4"/>
  <c r="U199" i="4"/>
  <c r="K200" i="4"/>
  <c r="O200" i="4"/>
  <c r="S200" i="4"/>
  <c r="I201" i="4"/>
  <c r="M201" i="4"/>
  <c r="Q201" i="4"/>
  <c r="U201" i="4"/>
  <c r="K202" i="4"/>
  <c r="O202" i="4"/>
  <c r="S202" i="4"/>
  <c r="I203" i="4"/>
  <c r="M203" i="4"/>
  <c r="Q203" i="4"/>
  <c r="U203" i="4"/>
  <c r="I206" i="4"/>
  <c r="M206" i="4"/>
  <c r="Q206" i="4"/>
  <c r="U206" i="4"/>
  <c r="K207" i="4"/>
  <c r="O207" i="4"/>
  <c r="S207" i="4"/>
  <c r="I208" i="4"/>
  <c r="M208" i="4"/>
  <c r="Q208" i="4"/>
  <c r="U208" i="4"/>
  <c r="K209" i="4"/>
  <c r="O209" i="4"/>
  <c r="K166" i="4"/>
  <c r="S171" i="4"/>
  <c r="M177" i="4"/>
  <c r="O182" i="4"/>
  <c r="S184" i="4"/>
  <c r="H187" i="4"/>
  <c r="O188" i="4"/>
  <c r="I191" i="4"/>
  <c r="P192" i="4"/>
  <c r="T193" i="4"/>
  <c r="H195" i="4"/>
  <c r="J196" i="4"/>
  <c r="H197" i="4"/>
  <c r="P197" i="4"/>
  <c r="J199" i="4"/>
  <c r="R199" i="4"/>
  <c r="L200" i="4"/>
  <c r="T200" i="4"/>
  <c r="N201" i="4"/>
  <c r="H202" i="4"/>
  <c r="P202" i="4"/>
  <c r="J203" i="4"/>
  <c r="R203" i="4"/>
  <c r="N206" i="4"/>
  <c r="H207" i="4"/>
  <c r="P207" i="4"/>
  <c r="J208" i="4"/>
  <c r="R208" i="4"/>
  <c r="L209" i="4"/>
  <c r="S209" i="4"/>
  <c r="J210" i="4"/>
  <c r="P210" i="4"/>
  <c r="U210" i="4"/>
  <c r="L212" i="4"/>
  <c r="R212" i="4"/>
  <c r="I213" i="4"/>
  <c r="N213" i="4"/>
  <c r="T213" i="4"/>
  <c r="K215" i="4"/>
  <c r="O215" i="4"/>
  <c r="S215" i="4"/>
  <c r="I216" i="4"/>
  <c r="M216" i="4"/>
  <c r="Q216" i="4"/>
  <c r="U216" i="4"/>
  <c r="K218" i="4"/>
  <c r="O218" i="4"/>
  <c r="S218" i="4"/>
  <c r="I219" i="4"/>
  <c r="M219" i="4"/>
  <c r="Q219" i="4"/>
  <c r="U219" i="4"/>
  <c r="K220" i="4"/>
  <c r="O220" i="4"/>
  <c r="S220" i="4"/>
  <c r="I221" i="4"/>
  <c r="M221" i="4"/>
  <c r="Q221" i="4"/>
  <c r="U221" i="4"/>
  <c r="K222" i="4"/>
  <c r="O222" i="4"/>
  <c r="S222" i="4"/>
  <c r="I223" i="4"/>
  <c r="M223" i="4"/>
  <c r="Q223" i="4"/>
  <c r="U223" i="4"/>
  <c r="K224" i="4"/>
  <c r="O224" i="4"/>
  <c r="S224" i="4"/>
  <c r="I225" i="4"/>
  <c r="M225" i="4"/>
  <c r="Q225" i="4"/>
  <c r="U225" i="4"/>
  <c r="K226" i="4"/>
  <c r="O226" i="4"/>
  <c r="S226" i="4"/>
  <c r="I227" i="4"/>
  <c r="M227" i="4"/>
  <c r="Q227" i="4"/>
  <c r="U227" i="4"/>
  <c r="K228" i="4"/>
  <c r="O228" i="4"/>
  <c r="S228" i="4"/>
  <c r="I229" i="4"/>
  <c r="M229" i="4"/>
  <c r="Q229" i="4"/>
  <c r="U229" i="4"/>
  <c r="K230" i="4"/>
  <c r="O230" i="4"/>
  <c r="S230" i="4"/>
  <c r="I231" i="4"/>
  <c r="M231" i="4"/>
  <c r="Q231" i="4"/>
  <c r="U231" i="4"/>
  <c r="K232" i="4"/>
  <c r="O232" i="4"/>
  <c r="S232" i="4"/>
  <c r="I233" i="4"/>
  <c r="M233" i="4"/>
  <c r="Q233" i="4"/>
  <c r="U233" i="4"/>
  <c r="K234" i="4"/>
  <c r="O234" i="4"/>
  <c r="S234" i="4"/>
  <c r="I235" i="4"/>
  <c r="M235" i="4"/>
  <c r="Q235" i="4"/>
  <c r="U235" i="4"/>
  <c r="K236" i="4"/>
  <c r="O236" i="4"/>
  <c r="S236" i="4"/>
  <c r="I237" i="4"/>
  <c r="M237" i="4"/>
  <c r="Q237" i="4"/>
  <c r="U237" i="4"/>
  <c r="K238" i="4"/>
  <c r="O238" i="4"/>
  <c r="S238" i="4"/>
  <c r="I239" i="4"/>
  <c r="M239" i="4"/>
  <c r="Q239" i="4"/>
  <c r="U239" i="4"/>
  <c r="K240" i="4"/>
  <c r="O240" i="4"/>
  <c r="S240" i="4"/>
  <c r="I241" i="4"/>
  <c r="M241" i="4"/>
  <c r="Q241" i="4"/>
  <c r="U241" i="4"/>
  <c r="K242" i="4"/>
  <c r="O242" i="4"/>
  <c r="S242" i="4"/>
  <c r="I243" i="4"/>
  <c r="M243" i="4"/>
  <c r="Q243" i="4"/>
  <c r="U243" i="4"/>
  <c r="K244" i="4"/>
  <c r="O244" i="4"/>
  <c r="S244" i="4"/>
  <c r="I245" i="4"/>
  <c r="M245" i="4"/>
  <c r="Q245" i="4"/>
  <c r="U245" i="4"/>
  <c r="K246" i="4"/>
  <c r="O246" i="4"/>
  <c r="S246" i="4"/>
  <c r="I247" i="4"/>
  <c r="M247" i="4"/>
  <c r="Q247" i="4"/>
  <c r="U247" i="4"/>
  <c r="L164" i="4"/>
  <c r="P164" i="4"/>
  <c r="T164" i="4"/>
  <c r="M168" i="4"/>
  <c r="U172" i="4"/>
  <c r="O178" i="4"/>
  <c r="I183" i="4"/>
  <c r="M185" i="4"/>
  <c r="M187" i="4"/>
  <c r="U188" i="4"/>
  <c r="N191" i="4"/>
  <c r="U192" i="4"/>
  <c r="J194" i="4"/>
  <c r="L195" i="4"/>
  <c r="N196" i="4"/>
  <c r="J197" i="4"/>
  <c r="R197" i="4"/>
  <c r="L199" i="4"/>
  <c r="T199" i="4"/>
  <c r="N200" i="4"/>
  <c r="H201" i="4"/>
  <c r="P201" i="4"/>
  <c r="J202" i="4"/>
  <c r="R202" i="4"/>
  <c r="L203" i="4"/>
  <c r="T203" i="4"/>
  <c r="H206" i="4"/>
  <c r="P206" i="4"/>
  <c r="J207" i="4"/>
  <c r="R207" i="4"/>
  <c r="L208" i="4"/>
  <c r="T208" i="4"/>
  <c r="N209" i="4"/>
  <c r="T209" i="4"/>
  <c r="L210" i="4"/>
  <c r="Q210" i="4"/>
  <c r="H212" i="4"/>
  <c r="N212" i="4"/>
  <c r="S212" i="4"/>
  <c r="J213" i="4"/>
  <c r="P213" i="4"/>
  <c r="U213" i="4"/>
  <c r="L215" i="4"/>
  <c r="P215" i="4"/>
  <c r="T215" i="4"/>
  <c r="J216" i="4"/>
  <c r="N216" i="4"/>
  <c r="R216" i="4"/>
  <c r="H218" i="4"/>
  <c r="L218" i="4"/>
  <c r="P218" i="4"/>
  <c r="T218" i="4"/>
  <c r="J219" i="4"/>
  <c r="N219" i="4"/>
  <c r="R219" i="4"/>
  <c r="H220" i="4"/>
  <c r="L220" i="4"/>
  <c r="P220" i="4"/>
  <c r="T220" i="4"/>
  <c r="J221" i="4"/>
  <c r="N221" i="4"/>
  <c r="R221" i="4"/>
  <c r="H222" i="4"/>
  <c r="L222" i="4"/>
  <c r="P222" i="4"/>
  <c r="T222" i="4"/>
  <c r="J223" i="4"/>
  <c r="N223" i="4"/>
  <c r="R223" i="4"/>
  <c r="H224" i="4"/>
  <c r="L224" i="4"/>
  <c r="P224" i="4"/>
  <c r="T224" i="4"/>
  <c r="J225" i="4"/>
  <c r="N225" i="4"/>
  <c r="R225" i="4"/>
  <c r="H226" i="4"/>
  <c r="L226" i="4"/>
  <c r="P226" i="4"/>
  <c r="T226" i="4"/>
  <c r="J227" i="4"/>
  <c r="N227" i="4"/>
  <c r="R227" i="4"/>
  <c r="H228" i="4"/>
  <c r="L228" i="4"/>
  <c r="P228" i="4"/>
  <c r="T228" i="4"/>
  <c r="O169" i="4"/>
  <c r="I175" i="4"/>
  <c r="Q179" i="4"/>
  <c r="Q183" i="4"/>
  <c r="U185" i="4"/>
  <c r="S187" i="4"/>
  <c r="L190" i="4"/>
  <c r="S191" i="4"/>
  <c r="L193" i="4"/>
  <c r="N194" i="4"/>
  <c r="P195" i="4"/>
  <c r="R196" i="4"/>
  <c r="L197" i="4"/>
  <c r="T197" i="4"/>
  <c r="N199" i="4"/>
  <c r="H200" i="4"/>
  <c r="P200" i="4"/>
  <c r="J201" i="4"/>
  <c r="R201" i="4"/>
  <c r="L202" i="4"/>
  <c r="T202" i="4"/>
  <c r="N203" i="4"/>
  <c r="J206" i="4"/>
  <c r="R206" i="4"/>
  <c r="L207" i="4"/>
  <c r="T207" i="4"/>
  <c r="N208" i="4"/>
  <c r="H209" i="4"/>
  <c r="P209" i="4"/>
  <c r="H210" i="4"/>
  <c r="M210" i="4"/>
  <c r="R210" i="4"/>
  <c r="J212" i="4"/>
  <c r="O212" i="4"/>
  <c r="T212" i="4"/>
  <c r="L213" i="4"/>
  <c r="Q213" i="4"/>
  <c r="H215" i="4"/>
  <c r="M215" i="4"/>
  <c r="Q215" i="4"/>
  <c r="U215" i="4"/>
  <c r="K216" i="4"/>
  <c r="O216" i="4"/>
  <c r="S216" i="4"/>
  <c r="I218" i="4"/>
  <c r="M218" i="4"/>
  <c r="Q218" i="4"/>
  <c r="U218" i="4"/>
  <c r="K219" i="4"/>
  <c r="O219" i="4"/>
  <c r="S219" i="4"/>
  <c r="I220" i="4"/>
  <c r="M220" i="4"/>
  <c r="Q220" i="4"/>
  <c r="U220" i="4"/>
  <c r="K221" i="4"/>
  <c r="O221" i="4"/>
  <c r="S221" i="4"/>
  <c r="I222" i="4"/>
  <c r="M222" i="4"/>
  <c r="Q222" i="4"/>
  <c r="U222" i="4"/>
  <c r="K223" i="4"/>
  <c r="O223" i="4"/>
  <c r="S223" i="4"/>
  <c r="I224" i="4"/>
  <c r="M224" i="4"/>
  <c r="Q224" i="4"/>
  <c r="U224" i="4"/>
  <c r="K225" i="4"/>
  <c r="O225" i="4"/>
  <c r="S225" i="4"/>
  <c r="I226" i="4"/>
  <c r="M226" i="4"/>
  <c r="Q226" i="4"/>
  <c r="U226" i="4"/>
  <c r="K227" i="4"/>
  <c r="O227" i="4"/>
  <c r="S227" i="4"/>
  <c r="I228" i="4"/>
  <c r="M228" i="4"/>
  <c r="Q228" i="4"/>
  <c r="U228" i="4"/>
  <c r="K229" i="4"/>
  <c r="O229" i="4"/>
  <c r="S229" i="4"/>
  <c r="I230" i="4"/>
  <c r="M230" i="4"/>
  <c r="Q230" i="4"/>
  <c r="U230" i="4"/>
  <c r="K231" i="4"/>
  <c r="O231" i="4"/>
  <c r="S231" i="4"/>
  <c r="I232" i="4"/>
  <c r="M232" i="4"/>
  <c r="Q232" i="4"/>
  <c r="U232" i="4"/>
  <c r="K233" i="4"/>
  <c r="O233" i="4"/>
  <c r="S233" i="4"/>
  <c r="I234" i="4"/>
  <c r="M234" i="4"/>
  <c r="Q234" i="4"/>
  <c r="U234" i="4"/>
  <c r="K235" i="4"/>
  <c r="O235" i="4"/>
  <c r="S235" i="4"/>
  <c r="I236" i="4"/>
  <c r="M236" i="4"/>
  <c r="Q236" i="4"/>
  <c r="U236" i="4"/>
  <c r="K237" i="4"/>
  <c r="O237" i="4"/>
  <c r="S237" i="4"/>
  <c r="I238" i="4"/>
  <c r="M238" i="4"/>
  <c r="Q238" i="4"/>
  <c r="U238" i="4"/>
  <c r="K239" i="4"/>
  <c r="O239" i="4"/>
  <c r="S239" i="4"/>
  <c r="I240" i="4"/>
  <c r="M240" i="4"/>
  <c r="Q240" i="4"/>
  <c r="U240" i="4"/>
  <c r="K241" i="4"/>
  <c r="O241" i="4"/>
  <c r="S241" i="4"/>
  <c r="I242" i="4"/>
  <c r="M242" i="4"/>
  <c r="Q242" i="4"/>
  <c r="U242" i="4"/>
  <c r="K243" i="4"/>
  <c r="O243" i="4"/>
  <c r="S243" i="4"/>
  <c r="I244" i="4"/>
  <c r="M244" i="4"/>
  <c r="Q170" i="4"/>
  <c r="O186" i="4"/>
  <c r="P193" i="4"/>
  <c r="N197" i="4"/>
  <c r="R200" i="4"/>
  <c r="H203" i="4"/>
  <c r="L206" i="4"/>
  <c r="P208" i="4"/>
  <c r="N210" i="4"/>
  <c r="H213" i="4"/>
  <c r="N215" i="4"/>
  <c r="P216" i="4"/>
  <c r="R218" i="4"/>
  <c r="T219" i="4"/>
  <c r="H221" i="4"/>
  <c r="J222" i="4"/>
  <c r="L223" i="4"/>
  <c r="N224" i="4"/>
  <c r="P225" i="4"/>
  <c r="R226" i="4"/>
  <c r="T227" i="4"/>
  <c r="H229" i="4"/>
  <c r="P229" i="4"/>
  <c r="J230" i="4"/>
  <c r="R230" i="4"/>
  <c r="L231" i="4"/>
  <c r="T231" i="4"/>
  <c r="N232" i="4"/>
  <c r="H233" i="4"/>
  <c r="P233" i="4"/>
  <c r="J234" i="4"/>
  <c r="R234" i="4"/>
  <c r="L235" i="4"/>
  <c r="T235" i="4"/>
  <c r="N236" i="4"/>
  <c r="H237" i="4"/>
  <c r="P237" i="4"/>
  <c r="J238" i="4"/>
  <c r="R238" i="4"/>
  <c r="L239" i="4"/>
  <c r="T239" i="4"/>
  <c r="N240" i="4"/>
  <c r="H241" i="4"/>
  <c r="P241" i="4"/>
  <c r="J242" i="4"/>
  <c r="R242" i="4"/>
  <c r="L243" i="4"/>
  <c r="T243" i="4"/>
  <c r="N244" i="4"/>
  <c r="T244" i="4"/>
  <c r="K245" i="4"/>
  <c r="P245" i="4"/>
  <c r="H246" i="4"/>
  <c r="M246" i="4"/>
  <c r="R246" i="4"/>
  <c r="J247" i="4"/>
  <c r="O247" i="4"/>
  <c r="T247" i="4"/>
  <c r="M164" i="4"/>
  <c r="R164" i="4"/>
  <c r="L244" i="4"/>
  <c r="O245" i="4"/>
  <c r="L246" i="4"/>
  <c r="Q246" i="4"/>
  <c r="N247" i="4"/>
  <c r="K164" i="4"/>
  <c r="Q164" i="4"/>
  <c r="K176" i="4"/>
  <c r="J188" i="4"/>
  <c r="R194" i="4"/>
  <c r="H199" i="4"/>
  <c r="L201" i="4"/>
  <c r="P203" i="4"/>
  <c r="T206" i="4"/>
  <c r="J209" i="4"/>
  <c r="T210" i="4"/>
  <c r="M213" i="4"/>
  <c r="R215" i="4"/>
  <c r="T216" i="4"/>
  <c r="H219" i="4"/>
  <c r="J220" i="4"/>
  <c r="L221" i="4"/>
  <c r="N222" i="4"/>
  <c r="P223" i="4"/>
  <c r="R224" i="4"/>
  <c r="T225" i="4"/>
  <c r="H227" i="4"/>
  <c r="J228" i="4"/>
  <c r="J229" i="4"/>
  <c r="R229" i="4"/>
  <c r="L230" i="4"/>
  <c r="T230" i="4"/>
  <c r="N231" i="4"/>
  <c r="H232" i="4"/>
  <c r="P232" i="4"/>
  <c r="J233" i="4"/>
  <c r="R233" i="4"/>
  <c r="L234" i="4"/>
  <c r="T234" i="4"/>
  <c r="N235" i="4"/>
  <c r="H236" i="4"/>
  <c r="P236" i="4"/>
  <c r="J237" i="4"/>
  <c r="R237" i="4"/>
  <c r="L238" i="4"/>
  <c r="T238" i="4"/>
  <c r="N239" i="4"/>
  <c r="H240" i="4"/>
  <c r="P240" i="4"/>
  <c r="J241" i="4"/>
  <c r="R241" i="4"/>
  <c r="L242" i="4"/>
  <c r="T242" i="4"/>
  <c r="N243" i="4"/>
  <c r="H244" i="4"/>
  <c r="P244" i="4"/>
  <c r="U244" i="4"/>
  <c r="L245" i="4"/>
  <c r="R245" i="4"/>
  <c r="I246" i="4"/>
  <c r="N246" i="4"/>
  <c r="T246" i="4"/>
  <c r="K247" i="4"/>
  <c r="P247" i="4"/>
  <c r="I164" i="4"/>
  <c r="N164" i="4"/>
  <c r="S164" i="4"/>
  <c r="I210" i="4"/>
  <c r="N218" i="4"/>
  <c r="R220" i="4"/>
  <c r="J224" i="4"/>
  <c r="N226" i="4"/>
  <c r="R228" i="4"/>
  <c r="P230" i="4"/>
  <c r="R231" i="4"/>
  <c r="L232" i="4"/>
  <c r="T232" i="4"/>
  <c r="N233" i="4"/>
  <c r="H234" i="4"/>
  <c r="P234" i="4"/>
  <c r="J235" i="4"/>
  <c r="R235" i="4"/>
  <c r="L236" i="4"/>
  <c r="T236" i="4"/>
  <c r="N237" i="4"/>
  <c r="H238" i="4"/>
  <c r="P238" i="4"/>
  <c r="J239" i="4"/>
  <c r="R239" i="4"/>
  <c r="L240" i="4"/>
  <c r="T240" i="4"/>
  <c r="N241" i="4"/>
  <c r="H242" i="4"/>
  <c r="P242" i="4"/>
  <c r="J243" i="4"/>
  <c r="R243" i="4"/>
  <c r="R244" i="4"/>
  <c r="J245" i="4"/>
  <c r="T245" i="4"/>
  <c r="H247" i="4"/>
  <c r="S247" i="4"/>
  <c r="H164" i="4"/>
  <c r="S180" i="4"/>
  <c r="Q190" i="4"/>
  <c r="T195" i="4"/>
  <c r="P199" i="4"/>
  <c r="T201" i="4"/>
  <c r="N207" i="4"/>
  <c r="R209" i="4"/>
  <c r="K212" i="4"/>
  <c r="R213" i="4"/>
  <c r="H216" i="4"/>
  <c r="J218" i="4"/>
  <c r="L219" i="4"/>
  <c r="N220" i="4"/>
  <c r="P221" i="4"/>
  <c r="R222" i="4"/>
  <c r="T223" i="4"/>
  <c r="H225" i="4"/>
  <c r="J226" i="4"/>
  <c r="L227" i="4"/>
  <c r="N228" i="4"/>
  <c r="L229" i="4"/>
  <c r="T229" i="4"/>
  <c r="N230" i="4"/>
  <c r="H231" i="4"/>
  <c r="P231" i="4"/>
  <c r="J232" i="4"/>
  <c r="R232" i="4"/>
  <c r="L233" i="4"/>
  <c r="T233" i="4"/>
  <c r="N234" i="4"/>
  <c r="H235" i="4"/>
  <c r="P235" i="4"/>
  <c r="J236" i="4"/>
  <c r="R236" i="4"/>
  <c r="L237" i="4"/>
  <c r="T237" i="4"/>
  <c r="N238" i="4"/>
  <c r="H239" i="4"/>
  <c r="P239" i="4"/>
  <c r="J240" i="4"/>
  <c r="R240" i="4"/>
  <c r="L241" i="4"/>
  <c r="T241" i="4"/>
  <c r="N242" i="4"/>
  <c r="H243" i="4"/>
  <c r="P243" i="4"/>
  <c r="J244" i="4"/>
  <c r="Q244" i="4"/>
  <c r="H245" i="4"/>
  <c r="N245" i="4"/>
  <c r="S245" i="4"/>
  <c r="J246" i="4"/>
  <c r="P246" i="4"/>
  <c r="U246" i="4"/>
  <c r="L247" i="4"/>
  <c r="R247" i="4"/>
  <c r="J164" i="4"/>
  <c r="O164" i="4"/>
  <c r="U164" i="4"/>
  <c r="K184" i="4"/>
  <c r="K192" i="4"/>
  <c r="T196" i="4"/>
  <c r="J200" i="4"/>
  <c r="N202" i="4"/>
  <c r="H208" i="4"/>
  <c r="P212" i="4"/>
  <c r="J215" i="4"/>
  <c r="L216" i="4"/>
  <c r="P219" i="4"/>
  <c r="T221" i="4"/>
  <c r="H223" i="4"/>
  <c r="L225" i="4"/>
  <c r="P227" i="4"/>
  <c r="N229" i="4"/>
  <c r="H230" i="4"/>
  <c r="J231" i="4"/>
  <c r="H91" i="4"/>
  <c r="Q92" i="4"/>
  <c r="M92" i="4"/>
  <c r="I92" i="4"/>
  <c r="S91" i="4"/>
  <c r="O91" i="4"/>
  <c r="K91" i="4"/>
  <c r="Q90" i="4"/>
  <c r="M90" i="4"/>
  <c r="I90" i="4"/>
  <c r="S89" i="4"/>
  <c r="O89" i="4"/>
  <c r="K89" i="4"/>
  <c r="Q88" i="4"/>
  <c r="M88" i="4"/>
  <c r="I88" i="4"/>
  <c r="S87" i="4"/>
  <c r="O87" i="4"/>
  <c r="K87" i="4"/>
  <c r="Q86" i="4"/>
  <c r="M86" i="4"/>
  <c r="I86" i="4"/>
  <c r="S85" i="4"/>
  <c r="O85" i="4"/>
  <c r="K85" i="4"/>
  <c r="Q84" i="4"/>
  <c r="M84" i="4"/>
  <c r="I84" i="4"/>
  <c r="S83" i="4"/>
  <c r="O83" i="4"/>
  <c r="K83" i="4"/>
  <c r="Q82" i="4"/>
  <c r="M82" i="4"/>
  <c r="I82" i="4"/>
  <c r="S81" i="4"/>
  <c r="O81" i="4"/>
  <c r="K81" i="4"/>
  <c r="Q80" i="4"/>
  <c r="M80" i="4"/>
  <c r="I80" i="4"/>
  <c r="S79" i="4"/>
  <c r="O79" i="4"/>
  <c r="K79" i="4"/>
  <c r="Q78" i="4"/>
  <c r="M78" i="4"/>
  <c r="I78" i="4"/>
  <c r="S77" i="4"/>
  <c r="T92" i="4"/>
  <c r="P92" i="4"/>
  <c r="L92" i="4"/>
  <c r="H92" i="4"/>
  <c r="R91" i="4"/>
  <c r="N91" i="4"/>
  <c r="J91" i="4"/>
  <c r="T90" i="4"/>
  <c r="P90" i="4"/>
  <c r="L90" i="4"/>
  <c r="H90" i="4"/>
  <c r="R89" i="4"/>
  <c r="N89" i="4"/>
  <c r="J89" i="4"/>
  <c r="T88" i="4"/>
  <c r="P88" i="4"/>
  <c r="L88" i="4"/>
  <c r="H88" i="4"/>
  <c r="R87" i="4"/>
  <c r="N87" i="4"/>
  <c r="J87" i="4"/>
  <c r="T86" i="4"/>
  <c r="P86" i="4"/>
  <c r="L86" i="4"/>
  <c r="H86" i="4"/>
  <c r="R85" i="4"/>
  <c r="N85" i="4"/>
  <c r="J85" i="4"/>
  <c r="T84" i="4"/>
  <c r="P84" i="4"/>
  <c r="L84" i="4"/>
  <c r="H84" i="4"/>
  <c r="R83" i="4"/>
  <c r="N83" i="4"/>
  <c r="J83" i="4"/>
  <c r="T82" i="4"/>
  <c r="P82" i="4"/>
  <c r="L82" i="4"/>
  <c r="H82" i="4"/>
  <c r="R81" i="4"/>
  <c r="N81" i="4"/>
  <c r="J81" i="4"/>
  <c r="T80" i="4"/>
  <c r="P80" i="4"/>
  <c r="L80" i="4"/>
  <c r="H80" i="4"/>
  <c r="R79" i="4"/>
  <c r="N79" i="4"/>
  <c r="J79" i="4"/>
  <c r="T78" i="4"/>
  <c r="P78" i="4"/>
  <c r="L78" i="4"/>
  <c r="H78" i="4"/>
  <c r="R77" i="4"/>
  <c r="N77" i="4"/>
  <c r="J77" i="4"/>
  <c r="T76" i="4"/>
  <c r="S92" i="4"/>
  <c r="R92" i="4"/>
  <c r="N92" i="4"/>
  <c r="J92" i="4"/>
  <c r="T91" i="4"/>
  <c r="P91" i="4"/>
  <c r="L91" i="4"/>
  <c r="R90" i="4"/>
  <c r="N90" i="4"/>
  <c r="J90" i="4"/>
  <c r="T89" i="4"/>
  <c r="P89" i="4"/>
  <c r="L89" i="4"/>
  <c r="H89" i="4"/>
  <c r="R88" i="4"/>
  <c r="N88" i="4"/>
  <c r="J88" i="4"/>
  <c r="T87" i="4"/>
  <c r="P87" i="4"/>
  <c r="L87" i="4"/>
  <c r="H87" i="4"/>
  <c r="R86" i="4"/>
  <c r="N86" i="4"/>
  <c r="J86" i="4"/>
  <c r="T85" i="4"/>
  <c r="P85" i="4"/>
  <c r="L85" i="4"/>
  <c r="H85" i="4"/>
  <c r="R84" i="4"/>
  <c r="N84" i="4"/>
  <c r="J84" i="4"/>
  <c r="T83" i="4"/>
  <c r="P83" i="4"/>
  <c r="L83" i="4"/>
  <c r="H83" i="4"/>
  <c r="R82" i="4"/>
  <c r="N82" i="4"/>
  <c r="J82" i="4"/>
  <c r="T81" i="4"/>
  <c r="P81" i="4"/>
  <c r="L81" i="4"/>
  <c r="H81" i="4"/>
  <c r="R80" i="4"/>
  <c r="N80" i="4"/>
  <c r="J80" i="4"/>
  <c r="T79" i="4"/>
  <c r="P79" i="4"/>
  <c r="L79" i="4"/>
  <c r="H79" i="4"/>
  <c r="R78" i="4"/>
  <c r="N78" i="4"/>
  <c r="J78" i="4"/>
  <c r="T77" i="4"/>
  <c r="P77" i="4"/>
  <c r="L77" i="4"/>
  <c r="H77" i="4"/>
  <c r="R76" i="4"/>
  <c r="N76" i="4"/>
  <c r="J76" i="4"/>
  <c r="T75" i="4"/>
  <c r="P75" i="4"/>
  <c r="L75" i="4"/>
  <c r="H75" i="4"/>
  <c r="R74" i="4"/>
  <c r="N74" i="4"/>
  <c r="J74" i="4"/>
  <c r="T73" i="4"/>
  <c r="P73" i="4"/>
  <c r="L73" i="4"/>
  <c r="H73" i="4"/>
  <c r="R72" i="4"/>
  <c r="N72" i="4"/>
  <c r="J72" i="4"/>
  <c r="T71" i="4"/>
  <c r="P71" i="4"/>
  <c r="L71" i="4"/>
  <c r="R70" i="4"/>
  <c r="N70" i="4"/>
  <c r="J70" i="4"/>
  <c r="T69" i="4"/>
  <c r="P69" i="4"/>
  <c r="L69" i="4"/>
  <c r="H69" i="4"/>
  <c r="R68" i="4"/>
  <c r="O92" i="4"/>
  <c r="M91" i="4"/>
  <c r="K90" i="4"/>
  <c r="I89" i="4"/>
  <c r="S86" i="4"/>
  <c r="Q85" i="4"/>
  <c r="O84" i="4"/>
  <c r="M83" i="4"/>
  <c r="K82" i="4"/>
  <c r="I81" i="4"/>
  <c r="S78" i="4"/>
  <c r="Q77" i="4"/>
  <c r="I77" i="4"/>
  <c r="P76" i="4"/>
  <c r="K76" i="4"/>
  <c r="S75" i="4"/>
  <c r="N75" i="4"/>
  <c r="I75" i="4"/>
  <c r="Q74" i="4"/>
  <c r="L74" i="4"/>
  <c r="O73" i="4"/>
  <c r="J73" i="4"/>
  <c r="S72" i="4"/>
  <c r="M72" i="4"/>
  <c r="H72" i="4"/>
  <c r="Q71" i="4"/>
  <c r="K71" i="4"/>
  <c r="T70" i="4"/>
  <c r="O70" i="4"/>
  <c r="I70" i="4"/>
  <c r="R69" i="4"/>
  <c r="M69" i="4"/>
  <c r="P68" i="4"/>
  <c r="L68" i="4"/>
  <c r="H68" i="4"/>
  <c r="R67" i="4"/>
  <c r="N67" i="4"/>
  <c r="J67" i="4"/>
  <c r="T66" i="4"/>
  <c r="P66" i="4"/>
  <c r="L66" i="4"/>
  <c r="H66" i="4"/>
  <c r="R65" i="4"/>
  <c r="N65" i="4"/>
  <c r="J65" i="4"/>
  <c r="T64" i="4"/>
  <c r="P64" i="4"/>
  <c r="L64" i="4"/>
  <c r="H64" i="4"/>
  <c r="R61" i="4"/>
  <c r="N61" i="4"/>
  <c r="J61" i="4"/>
  <c r="T58" i="4"/>
  <c r="P58" i="4"/>
  <c r="L58" i="4"/>
  <c r="H58" i="4"/>
  <c r="R55" i="4"/>
  <c r="N55" i="4"/>
  <c r="J55" i="4"/>
  <c r="T54" i="4"/>
  <c r="P54" i="4"/>
  <c r="L54" i="4"/>
  <c r="H54" i="4"/>
  <c r="R53" i="4"/>
  <c r="N53" i="4"/>
  <c r="J53" i="4"/>
  <c r="T52" i="4"/>
  <c r="P52" i="4"/>
  <c r="L52" i="4"/>
  <c r="H52" i="4"/>
  <c r="R51" i="4"/>
  <c r="N51" i="4"/>
  <c r="J51" i="4"/>
  <c r="T48" i="4"/>
  <c r="L48" i="4"/>
  <c r="H48" i="4"/>
  <c r="R47" i="4"/>
  <c r="N47" i="4"/>
  <c r="J47" i="4"/>
  <c r="T46" i="4"/>
  <c r="K92" i="4"/>
  <c r="I91" i="4"/>
  <c r="S88" i="4"/>
  <c r="Q87" i="4"/>
  <c r="O86" i="4"/>
  <c r="M85" i="4"/>
  <c r="K84" i="4"/>
  <c r="I83" i="4"/>
  <c r="S80" i="4"/>
  <c r="Q79" i="4"/>
  <c r="O78" i="4"/>
  <c r="O77" i="4"/>
  <c r="O76" i="4"/>
  <c r="I76" i="4"/>
  <c r="R75" i="4"/>
  <c r="M75" i="4"/>
  <c r="P74" i="4"/>
  <c r="K74" i="4"/>
  <c r="S73" i="4"/>
  <c r="N73" i="4"/>
  <c r="I73" i="4"/>
  <c r="Q72" i="4"/>
  <c r="L72" i="4"/>
  <c r="U71" i="4"/>
  <c r="O71" i="4"/>
  <c r="J71" i="4"/>
  <c r="S70" i="4"/>
  <c r="M70" i="4"/>
  <c r="H70" i="4"/>
  <c r="Q69" i="4"/>
  <c r="K69" i="4"/>
  <c r="T68" i="4"/>
  <c r="O68" i="4"/>
  <c r="K68" i="4"/>
  <c r="Q67" i="4"/>
  <c r="M67" i="4"/>
  <c r="I67" i="4"/>
  <c r="S66" i="4"/>
  <c r="O66" i="4"/>
  <c r="K66" i="4"/>
  <c r="Q65" i="4"/>
  <c r="M65" i="4"/>
  <c r="I65" i="4"/>
  <c r="S64" i="4"/>
  <c r="O64" i="4"/>
  <c r="K64" i="4"/>
  <c r="U61" i="4"/>
  <c r="Q61" i="4"/>
  <c r="M61" i="4"/>
  <c r="I61" i="4"/>
  <c r="S58" i="4"/>
  <c r="O58" i="4"/>
  <c r="K58" i="4"/>
  <c r="U55" i="4"/>
  <c r="M55" i="4"/>
  <c r="I55" i="4"/>
  <c r="S54" i="4"/>
  <c r="O54" i="4"/>
  <c r="K54" i="4"/>
  <c r="Q89" i="4"/>
  <c r="M87" i="4"/>
  <c r="I85" i="4"/>
  <c r="S82" i="4"/>
  <c r="O80" i="4"/>
  <c r="K78" i="4"/>
  <c r="S76" i="4"/>
  <c r="H76" i="4"/>
  <c r="K75" i="4"/>
  <c r="O74" i="4"/>
  <c r="R73" i="4"/>
  <c r="K72" i="4"/>
  <c r="N71" i="4"/>
  <c r="Q70" i="4"/>
  <c r="J69" i="4"/>
  <c r="N68" i="4"/>
  <c r="T67" i="4"/>
  <c r="L67" i="4"/>
  <c r="R66" i="4"/>
  <c r="J66" i="4"/>
  <c r="P65" i="4"/>
  <c r="H65" i="4"/>
  <c r="N64" i="4"/>
  <c r="L61" i="4"/>
  <c r="J58" i="4"/>
  <c r="P55" i="4"/>
  <c r="H55" i="4"/>
  <c r="N54" i="4"/>
  <c r="U53" i="4"/>
  <c r="P53" i="4"/>
  <c r="K53" i="4"/>
  <c r="S52" i="4"/>
  <c r="N52" i="4"/>
  <c r="I52" i="4"/>
  <c r="L51" i="4"/>
  <c r="U48" i="4"/>
  <c r="O48" i="4"/>
  <c r="J48" i="4"/>
  <c r="S47" i="4"/>
  <c r="M47" i="4"/>
  <c r="H47" i="4"/>
  <c r="Q46" i="4"/>
  <c r="M46" i="4"/>
  <c r="I46" i="4"/>
  <c r="S45" i="4"/>
  <c r="O45" i="4"/>
  <c r="K45" i="4"/>
  <c r="U42" i="4"/>
  <c r="Q42" i="4"/>
  <c r="I42" i="4"/>
  <c r="S41" i="4"/>
  <c r="O41" i="4"/>
  <c r="K41" i="4"/>
  <c r="U40" i="4"/>
  <c r="Q40" i="4"/>
  <c r="M40" i="4"/>
  <c r="I40" i="4"/>
  <c r="S39" i="4"/>
  <c r="K39" i="4"/>
  <c r="U38" i="4"/>
  <c r="Q38" i="4"/>
  <c r="M38" i="4"/>
  <c r="I38" i="4"/>
  <c r="S37" i="4"/>
  <c r="Q91" i="4"/>
  <c r="M89" i="4"/>
  <c r="I87" i="4"/>
  <c r="S84" i="4"/>
  <c r="O82" i="4"/>
  <c r="K80" i="4"/>
  <c r="Q76" i="4"/>
  <c r="J75" i="4"/>
  <c r="M74" i="4"/>
  <c r="Q73" i="4"/>
  <c r="T72" i="4"/>
  <c r="I72" i="4"/>
  <c r="M71" i="4"/>
  <c r="P70" i="4"/>
  <c r="S69" i="4"/>
  <c r="I69" i="4"/>
  <c r="M68" i="4"/>
  <c r="S67" i="4"/>
  <c r="K67" i="4"/>
  <c r="Q66" i="4"/>
  <c r="I66" i="4"/>
  <c r="O65" i="4"/>
  <c r="M64" i="4"/>
  <c r="S61" i="4"/>
  <c r="K61" i="4"/>
  <c r="Q58" i="4"/>
  <c r="I58" i="4"/>
  <c r="O55" i="4"/>
  <c r="U54" i="4"/>
  <c r="M54" i="4"/>
  <c r="T53" i="4"/>
  <c r="O53" i="4"/>
  <c r="I53" i="4"/>
  <c r="R52" i="4"/>
  <c r="M52" i="4"/>
  <c r="U51" i="4"/>
  <c r="P51" i="4"/>
  <c r="K51" i="4"/>
  <c r="S48" i="4"/>
  <c r="N48" i="4"/>
  <c r="I48" i="4"/>
  <c r="Q47" i="4"/>
  <c r="L47" i="4"/>
  <c r="U46" i="4"/>
  <c r="L46" i="4"/>
  <c r="H46" i="4"/>
  <c r="R45" i="4"/>
  <c r="N45" i="4"/>
  <c r="J45" i="4"/>
  <c r="T42" i="4"/>
  <c r="P42" i="4"/>
  <c r="L42" i="4"/>
  <c r="H42" i="4"/>
  <c r="R41" i="4"/>
  <c r="J41" i="4"/>
  <c r="T40" i="4"/>
  <c r="P40" i="4"/>
  <c r="L40" i="4"/>
  <c r="H40" i="4"/>
  <c r="R39" i="4"/>
  <c r="N39" i="4"/>
  <c r="J39" i="4"/>
  <c r="T38" i="4"/>
  <c r="P38" i="4"/>
  <c r="L38" i="4"/>
  <c r="H38" i="4"/>
  <c r="R37" i="4"/>
  <c r="N37" i="4"/>
  <c r="J37" i="4"/>
  <c r="T36" i="4"/>
  <c r="P36" i="4"/>
  <c r="L36" i="4"/>
  <c r="H36" i="4"/>
  <c r="R33" i="4"/>
  <c r="N33" i="4"/>
  <c r="T32" i="4"/>
  <c r="P32" i="4"/>
  <c r="L32" i="4"/>
  <c r="H32" i="4"/>
  <c r="S90" i="4"/>
  <c r="O90" i="4"/>
  <c r="M81" i="4"/>
  <c r="K77" i="4"/>
  <c r="O75" i="4"/>
  <c r="H74" i="4"/>
  <c r="O72" i="4"/>
  <c r="N69" i="4"/>
  <c r="I68" i="4"/>
  <c r="S65" i="4"/>
  <c r="Q64" i="4"/>
  <c r="O61" i="4"/>
  <c r="M58" i="4"/>
  <c r="K55" i="4"/>
  <c r="I54" i="4"/>
  <c r="L53" i="4"/>
  <c r="O52" i="4"/>
  <c r="S51" i="4"/>
  <c r="H51" i="4"/>
  <c r="K48" i="4"/>
  <c r="O47" i="4"/>
  <c r="R46" i="4"/>
  <c r="J46" i="4"/>
  <c r="H45" i="4"/>
  <c r="N42" i="4"/>
  <c r="T41" i="4"/>
  <c r="L41" i="4"/>
  <c r="R40" i="4"/>
  <c r="J40" i="4"/>
  <c r="P39" i="4"/>
  <c r="H39" i="4"/>
  <c r="N38" i="4"/>
  <c r="T37" i="4"/>
  <c r="H37" i="4"/>
  <c r="Q36" i="4"/>
  <c r="K36" i="4"/>
  <c r="T33" i="4"/>
  <c r="O33" i="4"/>
  <c r="I33" i="4"/>
  <c r="R32" i="4"/>
  <c r="M32" i="4"/>
  <c r="U31" i="4"/>
  <c r="Q31" i="4"/>
  <c r="M31" i="4"/>
  <c r="I31" i="4"/>
  <c r="S30" i="4"/>
  <c r="O30" i="4"/>
  <c r="K30" i="4"/>
  <c r="U29" i="4"/>
  <c r="Q29" i="4"/>
  <c r="M29" i="4"/>
  <c r="I29" i="4"/>
  <c r="S28" i="4"/>
  <c r="O28" i="4"/>
  <c r="K28" i="4"/>
  <c r="U25" i="4"/>
  <c r="Q25" i="4"/>
  <c r="M25" i="4"/>
  <c r="I25" i="4"/>
  <c r="S24" i="4"/>
  <c r="O24" i="4"/>
  <c r="U23" i="4"/>
  <c r="Q23" i="4"/>
  <c r="M23" i="4"/>
  <c r="I23" i="4"/>
  <c r="S22" i="4"/>
  <c r="O22" i="4"/>
  <c r="K22" i="4"/>
  <c r="U21" i="4"/>
  <c r="Q21" i="4"/>
  <c r="M21" i="4"/>
  <c r="S18" i="4"/>
  <c r="O18" i="4"/>
  <c r="K18" i="4"/>
  <c r="U17" i="4"/>
  <c r="Q17" i="4"/>
  <c r="M17" i="4"/>
  <c r="S16" i="4"/>
  <c r="O16" i="4"/>
  <c r="K16" i="4"/>
  <c r="U15" i="4"/>
  <c r="Q15" i="4"/>
  <c r="M15" i="4"/>
  <c r="S14" i="4"/>
  <c r="O14" i="4"/>
  <c r="K14" i="4"/>
  <c r="L10" i="4"/>
  <c r="P10" i="4"/>
  <c r="T10" i="4"/>
  <c r="J11" i="4"/>
  <c r="N11" i="4"/>
  <c r="R11" i="4"/>
  <c r="I9" i="4"/>
  <c r="M9" i="4"/>
  <c r="Q9" i="4"/>
  <c r="U9" i="4"/>
  <c r="O88" i="4"/>
  <c r="M79" i="4"/>
  <c r="M76" i="4"/>
  <c r="T74" i="4"/>
  <c r="M73" i="4"/>
  <c r="S71" i="4"/>
  <c r="L70" i="4"/>
  <c r="S68" i="4"/>
  <c r="P67" i="4"/>
  <c r="N66" i="4"/>
  <c r="L65" i="4"/>
  <c r="J64" i="4"/>
  <c r="H61" i="4"/>
  <c r="T55" i="4"/>
  <c r="R54" i="4"/>
  <c r="S53" i="4"/>
  <c r="H53" i="4"/>
  <c r="K52" i="4"/>
  <c r="O51" i="4"/>
  <c r="R48" i="4"/>
  <c r="U47" i="4"/>
  <c r="K47" i="4"/>
  <c r="O46" i="4"/>
  <c r="U45" i="4"/>
  <c r="M45" i="4"/>
  <c r="S42" i="4"/>
  <c r="K42" i="4"/>
  <c r="Q41" i="4"/>
  <c r="I41" i="4"/>
  <c r="O40" i="4"/>
  <c r="U39" i="4"/>
  <c r="M39" i="4"/>
  <c r="S38" i="4"/>
  <c r="K38" i="4"/>
  <c r="Q37" i="4"/>
  <c r="L37" i="4"/>
  <c r="U36" i="4"/>
  <c r="O36" i="4"/>
  <c r="J36" i="4"/>
  <c r="S33" i="4"/>
  <c r="M33" i="4"/>
  <c r="H33" i="4"/>
  <c r="Q32" i="4"/>
  <c r="K32" i="4"/>
  <c r="T31" i="4"/>
  <c r="P31" i="4"/>
  <c r="L31" i="4"/>
  <c r="H31" i="4"/>
  <c r="R30" i="4"/>
  <c r="N30" i="4"/>
  <c r="T29" i="4"/>
  <c r="P29" i="4"/>
  <c r="L29" i="4"/>
  <c r="H29" i="4"/>
  <c r="R28" i="4"/>
  <c r="N28" i="4"/>
  <c r="T25" i="4"/>
  <c r="P25" i="4"/>
  <c r="L25" i="4"/>
  <c r="H25" i="4"/>
  <c r="R24" i="4"/>
  <c r="N24" i="4"/>
  <c r="J24" i="4"/>
  <c r="T23" i="4"/>
  <c r="P23" i="4"/>
  <c r="L23" i="4"/>
  <c r="H23" i="4"/>
  <c r="R22" i="4"/>
  <c r="N22" i="4"/>
  <c r="J22" i="4"/>
  <c r="T21" i="4"/>
  <c r="P21" i="4"/>
  <c r="L21" i="4"/>
  <c r="H21" i="4"/>
  <c r="R18" i="4"/>
  <c r="N18" i="4"/>
  <c r="J18" i="4"/>
  <c r="T17" i="4"/>
  <c r="P17" i="4"/>
  <c r="L17" i="4"/>
  <c r="H17" i="4"/>
  <c r="R16" i="4"/>
  <c r="N16" i="4"/>
  <c r="J16" i="4"/>
  <c r="T15" i="4"/>
  <c r="P15" i="4"/>
  <c r="L15" i="4"/>
  <c r="H15" i="4"/>
  <c r="R14" i="4"/>
  <c r="N14" i="4"/>
  <c r="J14" i="4"/>
  <c r="I10" i="4"/>
  <c r="M10" i="4"/>
  <c r="Q10" i="4"/>
  <c r="U10" i="4"/>
  <c r="K11" i="4"/>
  <c r="O11" i="4"/>
  <c r="S11" i="4"/>
  <c r="J9" i="4"/>
  <c r="N9" i="4"/>
  <c r="R9" i="4"/>
  <c r="K88" i="4"/>
  <c r="Q83" i="4"/>
  <c r="I79" i="4"/>
  <c r="L76" i="4"/>
  <c r="S74" i="4"/>
  <c r="K73" i="4"/>
  <c r="R71" i="4"/>
  <c r="K70" i="4"/>
  <c r="Q68" i="4"/>
  <c r="O67" i="4"/>
  <c r="M66" i="4"/>
  <c r="K65" i="4"/>
  <c r="I64" i="4"/>
  <c r="U58" i="4"/>
  <c r="S55" i="4"/>
  <c r="U52" i="4"/>
  <c r="J52" i="4"/>
  <c r="M51" i="4"/>
  <c r="Q48" i="4"/>
  <c r="T47" i="4"/>
  <c r="I47" i="4"/>
  <c r="N46" i="4"/>
  <c r="T45" i="4"/>
  <c r="L45" i="4"/>
  <c r="R42" i="4"/>
  <c r="J42" i="4"/>
  <c r="P41" i="4"/>
  <c r="H41" i="4"/>
  <c r="T39" i="4"/>
  <c r="L39" i="4"/>
  <c r="R38" i="4"/>
  <c r="J38" i="4"/>
  <c r="P37" i="4"/>
  <c r="K37" i="4"/>
  <c r="S36" i="4"/>
  <c r="N36" i="4"/>
  <c r="I36" i="4"/>
  <c r="Q33" i="4"/>
  <c r="L33" i="4"/>
  <c r="U32" i="4"/>
  <c r="O32" i="4"/>
  <c r="S31" i="4"/>
  <c r="O31" i="4"/>
  <c r="K31" i="4"/>
  <c r="U30" i="4"/>
  <c r="Q30" i="4"/>
  <c r="M30" i="4"/>
  <c r="I30" i="4"/>
  <c r="S29" i="4"/>
  <c r="O29" i="4"/>
  <c r="K29" i="4"/>
  <c r="U28" i="4"/>
  <c r="Q28" i="4"/>
  <c r="M28" i="4"/>
  <c r="I28" i="4"/>
  <c r="S25" i="4"/>
  <c r="O25" i="4"/>
  <c r="U24" i="4"/>
  <c r="Q24" i="4"/>
  <c r="M24" i="4"/>
  <c r="I24" i="4"/>
  <c r="S23" i="4"/>
  <c r="O23" i="4"/>
  <c r="U22" i="4"/>
  <c r="Q22" i="4"/>
  <c r="M22" i="4"/>
  <c r="S21" i="4"/>
  <c r="O21" i="4"/>
  <c r="K21" i="4"/>
  <c r="U18" i="4"/>
  <c r="Q18" i="4"/>
  <c r="M18" i="4"/>
  <c r="S17" i="4"/>
  <c r="O17" i="4"/>
  <c r="K17" i="4"/>
  <c r="U16" i="4"/>
  <c r="Q16" i="4"/>
  <c r="K86" i="4"/>
  <c r="I74" i="4"/>
  <c r="J68" i="4"/>
  <c r="P61" i="4"/>
  <c r="M53" i="4"/>
  <c r="M48" i="4"/>
  <c r="Q45" i="4"/>
  <c r="M41" i="4"/>
  <c r="I39" i="4"/>
  <c r="I37" i="4"/>
  <c r="P33" i="4"/>
  <c r="I32" i="4"/>
  <c r="T30" i="4"/>
  <c r="R29" i="4"/>
  <c r="P28" i="4"/>
  <c r="N25" i="4"/>
  <c r="L24" i="4"/>
  <c r="J23" i="4"/>
  <c r="H22" i="4"/>
  <c r="T18" i="4"/>
  <c r="R17" i="4"/>
  <c r="P16" i="4"/>
  <c r="H16" i="4"/>
  <c r="N15" i="4"/>
  <c r="T14" i="4"/>
  <c r="L14" i="4"/>
  <c r="K10" i="4"/>
  <c r="S10" i="4"/>
  <c r="M11" i="4"/>
  <c r="U11" i="4"/>
  <c r="P9" i="4"/>
  <c r="Q81" i="4"/>
  <c r="P72" i="4"/>
  <c r="H67" i="4"/>
  <c r="N58" i="4"/>
  <c r="I45" i="4"/>
  <c r="S40" i="4"/>
  <c r="R36" i="4"/>
  <c r="K33" i="4"/>
  <c r="R31" i="4"/>
  <c r="P30" i="4"/>
  <c r="N29" i="4"/>
  <c r="L28" i="4"/>
  <c r="J25" i="4"/>
  <c r="H24" i="4"/>
  <c r="T22" i="4"/>
  <c r="R21" i="4"/>
  <c r="P18" i="4"/>
  <c r="N17" i="4"/>
  <c r="M16" i="4"/>
  <c r="S15" i="4"/>
  <c r="K15" i="4"/>
  <c r="Q14" i="4"/>
  <c r="N10" i="4"/>
  <c r="P11" i="4"/>
  <c r="K9" i="4"/>
  <c r="S9" i="4"/>
  <c r="R64" i="4"/>
  <c r="K46" i="4"/>
  <c r="Q39" i="4"/>
  <c r="U33" i="4"/>
  <c r="T28" i="4"/>
  <c r="P24" i="4"/>
  <c r="L22" i="4"/>
  <c r="H18" i="4"/>
  <c r="U14" i="4"/>
  <c r="J10" i="4"/>
  <c r="L11" i="4"/>
  <c r="O9" i="4"/>
  <c r="M77" i="4"/>
  <c r="I71" i="4"/>
  <c r="T65" i="4"/>
  <c r="L55" i="4"/>
  <c r="T51" i="4"/>
  <c r="S46" i="4"/>
  <c r="O42" i="4"/>
  <c r="K40" i="4"/>
  <c r="U37" i="4"/>
  <c r="S32" i="4"/>
  <c r="N31" i="4"/>
  <c r="L30" i="4"/>
  <c r="H28" i="4"/>
  <c r="T24" i="4"/>
  <c r="R23" i="4"/>
  <c r="P22" i="4"/>
  <c r="N21" i="4"/>
  <c r="L18" i="4"/>
  <c r="J17" i="4"/>
  <c r="L16" i="4"/>
  <c r="R15" i="4"/>
  <c r="J15" i="4"/>
  <c r="P14" i="4"/>
  <c r="H14" i="4"/>
  <c r="O10" i="4"/>
  <c r="I11" i="4"/>
  <c r="Q11" i="4"/>
  <c r="L9" i="4"/>
  <c r="T9" i="4"/>
  <c r="O69" i="4"/>
  <c r="J54" i="4"/>
  <c r="I51" i="4"/>
  <c r="U41" i="4"/>
  <c r="O37" i="4"/>
  <c r="N32" i="4"/>
  <c r="H30" i="4"/>
  <c r="R25" i="4"/>
  <c r="N23" i="4"/>
  <c r="J21" i="4"/>
  <c r="T16" i="4"/>
  <c r="O15" i="4"/>
  <c r="M14" i="4"/>
  <c r="R10" i="4"/>
  <c r="T11" i="4"/>
  <c r="Q75" i="4"/>
  <c r="H76" i="12" l="1"/>
  <c r="I76" i="12"/>
  <c r="H22" i="19"/>
  <c r="H25" i="19" l="1"/>
  <c r="F191" i="4" l="1"/>
  <c r="E213" i="16" s="1"/>
  <c r="F195" i="4"/>
  <c r="E217" i="16" s="1"/>
  <c r="F201" i="4"/>
  <c r="E223" i="16" s="1"/>
  <c r="F216" i="4"/>
  <c r="E238" i="16" s="1"/>
  <c r="F221" i="4"/>
  <c r="E243" i="16" s="1"/>
  <c r="F223" i="4"/>
  <c r="E245" i="16" s="1"/>
  <c r="F225" i="4"/>
  <c r="E247" i="16" s="1"/>
  <c r="F227" i="4"/>
  <c r="E249" i="16" s="1"/>
  <c r="F229" i="4"/>
  <c r="E251" i="16" s="1"/>
  <c r="F231" i="4"/>
  <c r="E253" i="16" s="1"/>
  <c r="F233" i="4"/>
  <c r="E255" i="16" s="1"/>
  <c r="F235" i="4"/>
  <c r="E257" i="16" s="1"/>
  <c r="F237" i="4"/>
  <c r="E259" i="16" s="1"/>
  <c r="F241" i="4"/>
  <c r="E263" i="16" s="1"/>
  <c r="F243" i="4"/>
  <c r="E265" i="16" s="1"/>
  <c r="F245" i="4"/>
  <c r="E267" i="16" s="1"/>
  <c r="F247" i="4"/>
  <c r="E269" i="16" s="1"/>
  <c r="F206" i="4"/>
  <c r="E228" i="16" s="1"/>
  <c r="F210" i="4"/>
  <c r="E232" i="16" s="1"/>
  <c r="F213" i="4"/>
  <c r="E235" i="16" s="1"/>
  <c r="F219" i="4"/>
  <c r="E241" i="16" s="1"/>
  <c r="F165" i="4"/>
  <c r="E187" i="16" s="1"/>
  <c r="F171" i="4"/>
  <c r="E193" i="16" s="1"/>
  <c r="F179" i="4"/>
  <c r="E201" i="16" s="1"/>
  <c r="F180" i="4"/>
  <c r="E202" i="16" s="1"/>
  <c r="F184" i="4"/>
  <c r="E206" i="16" s="1"/>
  <c r="F188" i="4"/>
  <c r="E210" i="16" s="1"/>
  <c r="F239" i="4"/>
  <c r="E261" i="16" s="1"/>
  <c r="F170" i="4"/>
  <c r="E192" i="16" s="1"/>
  <c r="F183" i="4"/>
  <c r="E205" i="16" s="1"/>
  <c r="F187" i="4"/>
  <c r="E209" i="16" s="1"/>
  <c r="F194" i="4"/>
  <c r="E216" i="16" s="1"/>
  <c r="F200" i="4"/>
  <c r="E222" i="16" s="1"/>
  <c r="F209" i="4"/>
  <c r="E231" i="16" s="1"/>
  <c r="F220" i="4"/>
  <c r="E242" i="16" s="1"/>
  <c r="F224" i="4"/>
  <c r="E246" i="16" s="1"/>
  <c r="F228" i="4"/>
  <c r="E250" i="16" s="1"/>
  <c r="F232" i="4"/>
  <c r="E254" i="16" s="1"/>
  <c r="F236" i="4"/>
  <c r="E258" i="16" s="1"/>
  <c r="F240" i="4"/>
  <c r="E262" i="16" s="1"/>
  <c r="F244" i="4"/>
  <c r="E266" i="16" s="1"/>
  <c r="F166" i="4"/>
  <c r="E188" i="16" s="1"/>
  <c r="F169" i="4"/>
  <c r="E191" i="16" s="1"/>
  <c r="F172" i="4"/>
  <c r="E194" i="16" s="1"/>
  <c r="F173" i="4"/>
  <c r="E195" i="16" s="1"/>
  <c r="F177" i="4"/>
  <c r="E199" i="16" s="1"/>
  <c r="F178" i="4"/>
  <c r="E200" i="16" s="1"/>
  <c r="F186" i="4"/>
  <c r="E208" i="16" s="1"/>
  <c r="F192" i="4"/>
  <c r="E214" i="16" s="1"/>
  <c r="F193" i="4"/>
  <c r="E215" i="16" s="1"/>
  <c r="F197" i="4"/>
  <c r="E219" i="16" s="1"/>
  <c r="F203" i="4"/>
  <c r="E225" i="16" s="1"/>
  <c r="F208" i="4"/>
  <c r="E230" i="16" s="1"/>
  <c r="F246" i="4"/>
  <c r="E268" i="16" s="1"/>
  <c r="F176" i="4"/>
  <c r="E198" i="16" s="1"/>
  <c r="F185" i="4"/>
  <c r="E207" i="16" s="1"/>
  <c r="F196" i="4"/>
  <c r="E218" i="16" s="1"/>
  <c r="F202" i="4"/>
  <c r="E224" i="16" s="1"/>
  <c r="F207" i="4"/>
  <c r="E229" i="16" s="1"/>
  <c r="F222" i="4"/>
  <c r="E244" i="16" s="1"/>
  <c r="F226" i="4"/>
  <c r="E248" i="16" s="1"/>
  <c r="F230" i="4"/>
  <c r="E252" i="16" s="1"/>
  <c r="F234" i="4"/>
  <c r="E256" i="16" s="1"/>
  <c r="F238" i="4"/>
  <c r="E260" i="16" s="1"/>
  <c r="F242" i="4"/>
  <c r="E264" i="16" s="1"/>
  <c r="O229" i="16" l="1"/>
  <c r="H229" i="16"/>
  <c r="M229" i="16"/>
  <c r="K229" i="16"/>
  <c r="L229" i="16"/>
  <c r="Q229" i="16"/>
  <c r="I229" i="16"/>
  <c r="N229" i="16"/>
  <c r="P229" i="16"/>
  <c r="J229" i="16"/>
  <c r="O230" i="16"/>
  <c r="I230" i="16"/>
  <c r="N230" i="16"/>
  <c r="H230" i="16"/>
  <c r="M230" i="16"/>
  <c r="K230" i="16"/>
  <c r="P230" i="16"/>
  <c r="J230" i="16"/>
  <c r="L230" i="16"/>
  <c r="Q230" i="16"/>
  <c r="R230" i="16" l="1"/>
  <c r="S230" i="16" s="1"/>
  <c r="R229" i="16"/>
  <c r="S229" i="16" s="1"/>
  <c r="J76" i="12" l="1"/>
  <c r="E269" i="8"/>
  <c r="E310" i="8"/>
  <c r="E318" i="8"/>
  <c r="E290" i="8"/>
  <c r="E294" i="8"/>
  <c r="E296" i="8"/>
  <c r="E84" i="8"/>
  <c r="E154" i="8"/>
  <c r="E72" i="8"/>
  <c r="E77" i="8"/>
  <c r="E79" i="8"/>
  <c r="E81" i="8"/>
  <c r="E83" i="8"/>
  <c r="E92" i="8"/>
  <c r="E147" i="8"/>
  <c r="E153" i="8"/>
  <c r="E169" i="8"/>
  <c r="E198" i="8"/>
  <c r="E210" i="8"/>
  <c r="E212" i="8"/>
  <c r="E323" i="8"/>
  <c r="E33" i="8"/>
  <c r="E125" i="8"/>
  <c r="E141" i="8"/>
  <c r="E181" i="8"/>
  <c r="E188" i="8"/>
  <c r="E225" i="8"/>
  <c r="E257" i="8"/>
  <c r="E260" i="8"/>
  <c r="E265" i="8"/>
  <c r="E268" i="8"/>
  <c r="E343" i="8"/>
  <c r="E100" i="8"/>
  <c r="E241" i="8"/>
  <c r="E249" i="8"/>
  <c r="E251" i="8"/>
  <c r="E254" i="8"/>
  <c r="E276" i="8"/>
  <c r="E299" i="8"/>
  <c r="E306" i="8"/>
  <c r="E309" i="8"/>
  <c r="E38" i="8"/>
  <c r="E44" i="8"/>
  <c r="E115" i="8"/>
  <c r="E121" i="8"/>
  <c r="E124" i="8"/>
  <c r="E163" i="8"/>
  <c r="E177" i="8"/>
  <c r="E180" i="8"/>
  <c r="E202" i="8"/>
  <c r="E219" i="8"/>
  <c r="E229" i="8"/>
  <c r="E237" i="8"/>
  <c r="E238" i="8"/>
  <c r="E240" i="8"/>
  <c r="E261" i="8"/>
  <c r="E272" i="8"/>
  <c r="E279" i="8"/>
  <c r="E286" i="8"/>
  <c r="E289" i="8"/>
  <c r="E303" i="8"/>
  <c r="E315" i="8"/>
  <c r="E320" i="8"/>
  <c r="E322" i="8"/>
  <c r="E32" i="8"/>
  <c r="E40" i="8"/>
  <c r="E48" i="8"/>
  <c r="E112" i="8"/>
  <c r="E117" i="8"/>
  <c r="E119" i="8"/>
  <c r="E143" i="8"/>
  <c r="E146" i="8"/>
  <c r="E158" i="8"/>
  <c r="E173" i="8"/>
  <c r="E175" i="8"/>
  <c r="E191" i="8"/>
  <c r="E192" i="8"/>
  <c r="E194" i="8"/>
  <c r="E197" i="8"/>
  <c r="E233" i="8"/>
  <c r="E235" i="8"/>
  <c r="E245" i="8"/>
  <c r="E256" i="8"/>
  <c r="E282" i="8"/>
  <c r="E284" i="8"/>
  <c r="E291" i="8"/>
  <c r="E298" i="8"/>
  <c r="E313" i="8"/>
  <c r="E337" i="8"/>
  <c r="E339" i="8"/>
  <c r="E342" i="8"/>
  <c r="E364" i="8"/>
  <c r="E350" i="8"/>
  <c r="E363" i="8"/>
  <c r="E18" i="8"/>
  <c r="E25" i="8"/>
  <c r="E28" i="8"/>
  <c r="E30" i="8"/>
  <c r="E64" i="8"/>
  <c r="E66" i="8"/>
  <c r="E68" i="8"/>
  <c r="E88" i="8"/>
  <c r="E91" i="8"/>
  <c r="E96" i="8"/>
  <c r="E129" i="8"/>
  <c r="E165" i="8"/>
  <c r="E168" i="8"/>
  <c r="E184" i="8"/>
  <c r="E206" i="8"/>
  <c r="E208" i="8"/>
  <c r="E214" i="8"/>
  <c r="E217" i="8"/>
  <c r="E221" i="8"/>
  <c r="E222" i="8"/>
  <c r="E224" i="8"/>
  <c r="E270" i="8"/>
  <c r="E275" i="8"/>
  <c r="E307" i="8"/>
  <c r="E314" i="8"/>
  <c r="E317" i="8"/>
  <c r="E359" i="8"/>
  <c r="E150" i="8"/>
  <c r="E13" i="8"/>
  <c r="E17" i="8"/>
  <c r="E21" i="8"/>
  <c r="E24" i="8"/>
  <c r="E27" i="8"/>
  <c r="E31" i="8"/>
  <c r="E36" i="8"/>
  <c r="E53" i="8"/>
  <c r="E56" i="8"/>
  <c r="E61" i="8"/>
  <c r="E63" i="8"/>
  <c r="E70" i="8"/>
  <c r="E86" i="8"/>
  <c r="E90" i="8"/>
  <c r="E93" i="8"/>
  <c r="E95" i="8"/>
  <c r="E97" i="8"/>
  <c r="E99" i="8"/>
  <c r="E123" i="8"/>
  <c r="E126" i="8"/>
  <c r="E128" i="8"/>
  <c r="E152" i="8"/>
  <c r="E157" i="8"/>
  <c r="E10" i="8"/>
  <c r="E9" i="8"/>
  <c r="E16" i="8"/>
  <c r="E20" i="8"/>
  <c r="E23" i="8"/>
  <c r="E26" i="8"/>
  <c r="E35" i="8"/>
  <c r="E37" i="8"/>
  <c r="E42" i="8"/>
  <c r="E50" i="8"/>
  <c r="E52" i="8"/>
  <c r="E58" i="8"/>
  <c r="E60" i="8"/>
  <c r="E69" i="8"/>
  <c r="E71" i="8"/>
  <c r="E80" i="8"/>
  <c r="E113" i="8"/>
  <c r="E114" i="8"/>
  <c r="E139" i="8"/>
  <c r="E142" i="8"/>
  <c r="E161" i="8"/>
  <c r="E164" i="8"/>
  <c r="E8" i="8"/>
  <c r="E19" i="8"/>
  <c r="E29" i="8"/>
  <c r="E34" i="8"/>
  <c r="E43" i="8"/>
  <c r="E104" i="8"/>
  <c r="E106" i="8"/>
  <c r="E133" i="8"/>
  <c r="E135" i="8"/>
  <c r="E137" i="8"/>
  <c r="E179" i="8"/>
  <c r="E193" i="8"/>
  <c r="E196" i="8"/>
  <c r="E201" i="8"/>
  <c r="E213" i="8"/>
  <c r="E223" i="8"/>
  <c r="E226" i="8"/>
  <c r="E228" i="8"/>
  <c r="E239" i="8"/>
  <c r="E242" i="8"/>
  <c r="E244" i="8"/>
  <c r="E250" i="8"/>
  <c r="E259" i="8"/>
  <c r="E263" i="8"/>
  <c r="E267" i="8"/>
  <c r="E278" i="8"/>
  <c r="E283" i="8"/>
  <c r="E288" i="8"/>
  <c r="E295" i="8"/>
  <c r="E301" i="8"/>
  <c r="E302" i="8"/>
  <c r="E312" i="8"/>
  <c r="E319" i="8"/>
  <c r="E324" i="8"/>
  <c r="E341" i="8"/>
  <c r="E346" i="8"/>
  <c r="E347" i="8"/>
  <c r="E352" i="8"/>
  <c r="E354" i="8"/>
  <c r="E358" i="8"/>
  <c r="E361" i="8"/>
  <c r="E94" i="8"/>
  <c r="E98" i="8"/>
  <c r="E103" i="8"/>
  <c r="E116" i="8"/>
  <c r="E127" i="8"/>
  <c r="E130" i="8"/>
  <c r="E132" i="8"/>
  <c r="E145" i="8"/>
  <c r="E148" i="8"/>
  <c r="E156" i="8"/>
  <c r="E159" i="8"/>
  <c r="E167" i="8"/>
  <c r="E170" i="8"/>
  <c r="E172" i="8"/>
  <c r="E187" i="8"/>
  <c r="E200" i="8"/>
  <c r="E203" i="8"/>
  <c r="E205" i="8"/>
  <c r="E215" i="8"/>
  <c r="E227" i="8"/>
  <c r="E230" i="8"/>
  <c r="E232" i="8"/>
  <c r="E243" i="8"/>
  <c r="E246" i="8"/>
  <c r="E258" i="8"/>
  <c r="E262" i="8"/>
  <c r="E266" i="8"/>
  <c r="E271" i="8"/>
  <c r="E277" i="8"/>
  <c r="E281" i="8"/>
  <c r="E287" i="8"/>
  <c r="E293" i="8"/>
  <c r="E300" i="8"/>
  <c r="E305" i="8"/>
  <c r="E311" i="8"/>
  <c r="E326" i="8"/>
  <c r="E331" i="8"/>
  <c r="E334" i="8"/>
  <c r="E336" i="8"/>
  <c r="E340" i="8"/>
  <c r="E345" i="8"/>
  <c r="E351" i="8"/>
  <c r="E357" i="8"/>
  <c r="E55" i="8"/>
  <c r="E62" i="8"/>
  <c r="E74" i="8"/>
  <c r="E76" i="8"/>
  <c r="E78" i="8"/>
  <c r="E82" i="8"/>
  <c r="E87" i="8"/>
  <c r="E102" i="8"/>
  <c r="E107" i="8"/>
  <c r="E110" i="8"/>
  <c r="E120" i="8"/>
  <c r="E131" i="8"/>
  <c r="E136" i="8"/>
  <c r="E138" i="8"/>
  <c r="E149" i="8"/>
  <c r="E160" i="8"/>
  <c r="E171" i="8"/>
  <c r="E174" i="8"/>
  <c r="E176" i="8"/>
  <c r="E186" i="8"/>
  <c r="E190" i="8"/>
  <c r="E204" i="8"/>
  <c r="E209" i="8"/>
  <c r="E216" i="8"/>
  <c r="E218" i="8"/>
  <c r="E220" i="8"/>
  <c r="E231" i="8"/>
  <c r="E234" i="8"/>
  <c r="E236" i="8"/>
  <c r="E247" i="8"/>
  <c r="E252" i="8"/>
  <c r="E255" i="8"/>
  <c r="E274" i="8"/>
  <c r="E280" i="8"/>
  <c r="E285" i="8"/>
  <c r="E292" i="8"/>
  <c r="E297" i="8"/>
  <c r="E304" i="8"/>
  <c r="E308" i="8"/>
  <c r="E316" i="8"/>
  <c r="E328" i="8"/>
  <c r="E330" i="8"/>
  <c r="E333" i="8"/>
  <c r="E338" i="8"/>
  <c r="E344" i="8"/>
  <c r="E356" i="8"/>
  <c r="E365" i="8"/>
  <c r="E22" i="8"/>
  <c r="E54" i="8"/>
  <c r="E183" i="8"/>
  <c r="E189" i="8"/>
  <c r="E211" i="8"/>
  <c r="E41" i="8"/>
  <c r="E47" i="8"/>
  <c r="E46" i="8"/>
  <c r="E185" i="8"/>
  <c r="E207" i="8"/>
  <c r="E7" i="8"/>
  <c r="E15" i="8"/>
  <c r="E39" i="8"/>
  <c r="E45" i="8"/>
  <c r="E49" i="8"/>
  <c r="E57" i="8"/>
  <c r="E65" i="8"/>
  <c r="E73" i="8"/>
  <c r="E85" i="8"/>
  <c r="E101" i="8"/>
  <c r="E109" i="8"/>
  <c r="E118" i="8"/>
  <c r="E134" i="8"/>
  <c r="E140" i="8"/>
  <c r="E151" i="8"/>
  <c r="E162" i="8"/>
  <c r="E178" i="8"/>
  <c r="E195" i="8"/>
  <c r="E11" i="8"/>
  <c r="E14" i="8"/>
  <c r="E12" i="8"/>
  <c r="E51" i="8"/>
  <c r="E59" i="8"/>
  <c r="E67" i="8"/>
  <c r="E75" i="8"/>
  <c r="E89" i="8"/>
  <c r="E105" i="8"/>
  <c r="E111" i="8"/>
  <c r="E122" i="8"/>
  <c r="E144" i="8"/>
  <c r="E155" i="8"/>
  <c r="E166" i="8"/>
  <c r="E182" i="8"/>
  <c r="E199" i="8"/>
  <c r="E248" i="8"/>
  <c r="E108" i="8"/>
  <c r="E253" i="8"/>
  <c r="E327" i="8"/>
  <c r="E329" i="8"/>
  <c r="E332" i="8"/>
  <c r="E348" i="8"/>
  <c r="E353" i="8"/>
  <c r="E355" i="8"/>
  <c r="E360" i="8"/>
  <c r="E362" i="8"/>
  <c r="E273" i="8"/>
  <c r="E325" i="8"/>
  <c r="E335" i="8"/>
  <c r="E264" i="8"/>
  <c r="E321" i="8"/>
  <c r="E349" i="8"/>
  <c r="B2155" i="5" l="1"/>
  <c r="C2155" i="5" s="1"/>
  <c r="B2154" i="5"/>
  <c r="C2154" i="5" s="1"/>
  <c r="B2153" i="5"/>
  <c r="C2153" i="5" s="1"/>
  <c r="B2152" i="5"/>
  <c r="C2152" i="5" s="1"/>
  <c r="B2151" i="5"/>
  <c r="C2151" i="5" s="1"/>
  <c r="B2150" i="5"/>
  <c r="C2150" i="5" s="1"/>
  <c r="B2149" i="5"/>
  <c r="C2149" i="5" s="1"/>
  <c r="B2148" i="5"/>
  <c r="C2148" i="5" s="1"/>
  <c r="B2147" i="5"/>
  <c r="C2147" i="5" s="1"/>
  <c r="B2146" i="5"/>
  <c r="C2146" i="5" s="1"/>
  <c r="B2145" i="5"/>
  <c r="C2145" i="5" s="1"/>
  <c r="B2144" i="5"/>
  <c r="C2144" i="5" s="1"/>
  <c r="B2143" i="5"/>
  <c r="C2143" i="5" s="1"/>
  <c r="B2142" i="5"/>
  <c r="C2142" i="5" s="1"/>
  <c r="B2141" i="5"/>
  <c r="C2141" i="5" s="1"/>
  <c r="B2140" i="5"/>
  <c r="C2140" i="5" s="1"/>
  <c r="B2139" i="5"/>
  <c r="C2139" i="5" s="1"/>
  <c r="B2138" i="5"/>
  <c r="C2138" i="5" s="1"/>
  <c r="B2137" i="5"/>
  <c r="C2137" i="5" s="1"/>
  <c r="B2136" i="5"/>
  <c r="C2136" i="5" s="1"/>
  <c r="B2135" i="5"/>
  <c r="C2135" i="5" s="1"/>
  <c r="B2134" i="5"/>
  <c r="C2134" i="5" s="1"/>
  <c r="B2133" i="5"/>
  <c r="C2133" i="5" s="1"/>
  <c r="B2132" i="5"/>
  <c r="C2132" i="5" s="1"/>
  <c r="B2131" i="5"/>
  <c r="C2131" i="5" s="1"/>
  <c r="B2130" i="5"/>
  <c r="C2130" i="5" s="1"/>
  <c r="B2129" i="5"/>
  <c r="C2129" i="5" s="1"/>
  <c r="B2128" i="5"/>
  <c r="C2128" i="5" s="1"/>
  <c r="B2127" i="5"/>
  <c r="C2127" i="5" s="1"/>
  <c r="B2126" i="5"/>
  <c r="C2126" i="5" s="1"/>
  <c r="B2125" i="5"/>
  <c r="C2125" i="5" s="1"/>
  <c r="B2124" i="5"/>
  <c r="C2124" i="5" s="1"/>
  <c r="B2123" i="5"/>
  <c r="C2123" i="5" s="1"/>
  <c r="B2122" i="5"/>
  <c r="C2122" i="5" s="1"/>
  <c r="B2121" i="5"/>
  <c r="C2121" i="5" s="1"/>
  <c r="B2120" i="5"/>
  <c r="C2120" i="5" s="1"/>
  <c r="B2119" i="5"/>
  <c r="C2119" i="5" s="1"/>
  <c r="B2118" i="5"/>
  <c r="C2118" i="5" s="1"/>
  <c r="B2117" i="5"/>
  <c r="C2117" i="5" s="1"/>
  <c r="B2116" i="5"/>
  <c r="C2116" i="5" s="1"/>
  <c r="B2115" i="5"/>
  <c r="C2115" i="5" s="1"/>
  <c r="B2114" i="5"/>
  <c r="C2114" i="5" s="1"/>
  <c r="B2113" i="5"/>
  <c r="C2113" i="5" s="1"/>
  <c r="B2112" i="5"/>
  <c r="C2112" i="5" s="1"/>
  <c r="B2111" i="5"/>
  <c r="C2111" i="5" s="1"/>
  <c r="B2110" i="5"/>
  <c r="C2110" i="5" s="1"/>
  <c r="B2109" i="5"/>
  <c r="C2109" i="5" s="1"/>
  <c r="B2108" i="5"/>
  <c r="C2108" i="5" s="1"/>
  <c r="B2107" i="5"/>
  <c r="C2107" i="5" s="1"/>
  <c r="B2106" i="5"/>
  <c r="C2106" i="5" s="1"/>
  <c r="B2105" i="5"/>
  <c r="C2105" i="5" s="1"/>
  <c r="B2104" i="5"/>
  <c r="C2104" i="5" s="1"/>
  <c r="B2103" i="5"/>
  <c r="C2103" i="5" s="1"/>
  <c r="B2102" i="5"/>
  <c r="C2102" i="5" s="1"/>
  <c r="B2101" i="5"/>
  <c r="C2101" i="5" s="1"/>
  <c r="B2100" i="5"/>
  <c r="C2100" i="5" s="1"/>
  <c r="B2099" i="5"/>
  <c r="C2099" i="5" s="1"/>
  <c r="B2098" i="5"/>
  <c r="C2098" i="5" s="1"/>
  <c r="B2097" i="5"/>
  <c r="C2097" i="5" s="1"/>
  <c r="B2096" i="5"/>
  <c r="C2096" i="5" s="1"/>
  <c r="B2095" i="5"/>
  <c r="C2095" i="5" s="1"/>
  <c r="B2094" i="5"/>
  <c r="C2094" i="5" s="1"/>
  <c r="B2093" i="5"/>
  <c r="C2093" i="5" s="1"/>
  <c r="B2092" i="5"/>
  <c r="C2092" i="5" s="1"/>
  <c r="B2091" i="5"/>
  <c r="C2091" i="5" s="1"/>
  <c r="B2090" i="5"/>
  <c r="C2090" i="5" s="1"/>
  <c r="B2089" i="5"/>
  <c r="C2089" i="5" s="1"/>
  <c r="B2088" i="5"/>
  <c r="C2088" i="5" s="1"/>
  <c r="B2087" i="5"/>
  <c r="C2087" i="5" s="1"/>
  <c r="B2086" i="5"/>
  <c r="C2086" i="5" s="1"/>
  <c r="B2085" i="5"/>
  <c r="C2085" i="5" s="1"/>
  <c r="B2084" i="5"/>
  <c r="C2084" i="5" s="1"/>
  <c r="B2083" i="5"/>
  <c r="C2083" i="5" s="1"/>
  <c r="B2082" i="5"/>
  <c r="C2082" i="5" s="1"/>
  <c r="B2081" i="5"/>
  <c r="C2081" i="5" s="1"/>
  <c r="B2080" i="5"/>
  <c r="C2080" i="5" s="1"/>
  <c r="B2079" i="5"/>
  <c r="C2079" i="5" s="1"/>
  <c r="B2078" i="5"/>
  <c r="C2078" i="5" s="1"/>
  <c r="B2077" i="5"/>
  <c r="C2077" i="5" s="1"/>
  <c r="B2076" i="5"/>
  <c r="C2076" i="5" s="1"/>
  <c r="B2075" i="5"/>
  <c r="C2075" i="5" s="1"/>
  <c r="B2074" i="5"/>
  <c r="C2074" i="5" s="1"/>
  <c r="B2073" i="5"/>
  <c r="C2073" i="5" s="1"/>
  <c r="B2072" i="5"/>
  <c r="C2072" i="5" s="1"/>
  <c r="B2071" i="5"/>
  <c r="C2071" i="5" s="1"/>
  <c r="B2070" i="5"/>
  <c r="C2070" i="5" s="1"/>
  <c r="B2069" i="5"/>
  <c r="C2069" i="5" s="1"/>
  <c r="B2068" i="5"/>
  <c r="C2068" i="5" s="1"/>
  <c r="B2067" i="5"/>
  <c r="C2067" i="5" s="1"/>
  <c r="B2066" i="5"/>
  <c r="C2066" i="5" s="1"/>
  <c r="B2065" i="5"/>
  <c r="C2065" i="5" s="1"/>
  <c r="B2064" i="5"/>
  <c r="C2064" i="5" s="1"/>
  <c r="B2063" i="5"/>
  <c r="C2063" i="5" s="1"/>
  <c r="B2062" i="5"/>
  <c r="C2062" i="5" s="1"/>
  <c r="B2061" i="5"/>
  <c r="C2061" i="5" s="1"/>
  <c r="B2060" i="5"/>
  <c r="C2060" i="5" s="1"/>
  <c r="B2059" i="5"/>
  <c r="C2059" i="5" s="1"/>
  <c r="B2058" i="5"/>
  <c r="C2058" i="5" s="1"/>
  <c r="B2057" i="5"/>
  <c r="C2057" i="5" s="1"/>
  <c r="B2056" i="5"/>
  <c r="C2056" i="5" s="1"/>
  <c r="B2055" i="5"/>
  <c r="C2055" i="5" s="1"/>
  <c r="B2054" i="5"/>
  <c r="C2054" i="5" s="1"/>
  <c r="B2053" i="5"/>
  <c r="C2053" i="5" s="1"/>
  <c r="B2052" i="5"/>
  <c r="C2052" i="5" s="1"/>
  <c r="B2051" i="5"/>
  <c r="C2051" i="5" s="1"/>
  <c r="B2050" i="5"/>
  <c r="C2050" i="5" s="1"/>
  <c r="B2049" i="5"/>
  <c r="C2049" i="5" s="1"/>
  <c r="B2048" i="5"/>
  <c r="C2048" i="5" s="1"/>
  <c r="B2047" i="5"/>
  <c r="C2047" i="5" s="1"/>
  <c r="B2046" i="5"/>
  <c r="C2046" i="5" s="1"/>
  <c r="B2045" i="5"/>
  <c r="C2045" i="5" s="1"/>
  <c r="B2044" i="5"/>
  <c r="C2044" i="5" s="1"/>
  <c r="B2043" i="5"/>
  <c r="C2043" i="5" s="1"/>
  <c r="B2042" i="5"/>
  <c r="C2042" i="5" s="1"/>
  <c r="B2041" i="5"/>
  <c r="C2041" i="5" s="1"/>
  <c r="B2040" i="5"/>
  <c r="C2040" i="5" s="1"/>
  <c r="B2039" i="5"/>
  <c r="C2039" i="5" s="1"/>
  <c r="B2038" i="5"/>
  <c r="C2038" i="5" s="1"/>
  <c r="B2037" i="5"/>
  <c r="C2037" i="5" s="1"/>
  <c r="B2036" i="5"/>
  <c r="C2036" i="5" s="1"/>
  <c r="B2035" i="5"/>
  <c r="C2035" i="5" s="1"/>
  <c r="B2034" i="5"/>
  <c r="C2034" i="5" s="1"/>
  <c r="B2033" i="5"/>
  <c r="C2033" i="5" s="1"/>
  <c r="B2032" i="5"/>
  <c r="C2032" i="5" s="1"/>
  <c r="B2031" i="5"/>
  <c r="C2031" i="5" s="1"/>
  <c r="B2030" i="5"/>
  <c r="C2030" i="5" s="1"/>
  <c r="B2029" i="5"/>
  <c r="C2029" i="5" s="1"/>
  <c r="B2028" i="5"/>
  <c r="C2028" i="5" s="1"/>
  <c r="B2027" i="5"/>
  <c r="C2027" i="5" s="1"/>
  <c r="B2026" i="5"/>
  <c r="C2026" i="5" s="1"/>
  <c r="B2025" i="5"/>
  <c r="C2025" i="5" s="1"/>
  <c r="B2024" i="5"/>
  <c r="C2024" i="5" s="1"/>
  <c r="B2023" i="5"/>
  <c r="C2023" i="5" s="1"/>
  <c r="B2022" i="5"/>
  <c r="C2022" i="5" s="1"/>
  <c r="B2021" i="5"/>
  <c r="C2021" i="5" s="1"/>
  <c r="B2020" i="5"/>
  <c r="C2020" i="5" s="1"/>
  <c r="B2019" i="5"/>
  <c r="C2019" i="5" s="1"/>
  <c r="B2018" i="5"/>
  <c r="C2018" i="5" s="1"/>
  <c r="B2017" i="5"/>
  <c r="C2017" i="5" s="1"/>
  <c r="B2016" i="5"/>
  <c r="C2016" i="5" s="1"/>
  <c r="B2015" i="5"/>
  <c r="C2015" i="5" s="1"/>
  <c r="B2014" i="5"/>
  <c r="C2014" i="5" s="1"/>
  <c r="B2013" i="5"/>
  <c r="C2013" i="5" s="1"/>
  <c r="B2012" i="5"/>
  <c r="C2012" i="5" s="1"/>
  <c r="B2011" i="5"/>
  <c r="C2011" i="5" s="1"/>
  <c r="B2010" i="5"/>
  <c r="C2010" i="5" s="1"/>
  <c r="B2009" i="5"/>
  <c r="C2009" i="5" s="1"/>
  <c r="B2008" i="5"/>
  <c r="C2008" i="5" s="1"/>
  <c r="B2007" i="5"/>
  <c r="C2007" i="5" s="1"/>
  <c r="B2006" i="5"/>
  <c r="C2006" i="5" s="1"/>
  <c r="B2005" i="5"/>
  <c r="C2005" i="5" s="1"/>
  <c r="B2004" i="5"/>
  <c r="C2004" i="5" s="1"/>
  <c r="B2003" i="5"/>
  <c r="C2003" i="5" s="1"/>
  <c r="B2002" i="5"/>
  <c r="C2002" i="5" s="1"/>
  <c r="B2001" i="5"/>
  <c r="C2001" i="5" s="1"/>
  <c r="B2000" i="5"/>
  <c r="C2000" i="5" s="1"/>
  <c r="B1999" i="5"/>
  <c r="C1999" i="5" s="1"/>
  <c r="B1998" i="5"/>
  <c r="C1998" i="5" s="1"/>
  <c r="B1997" i="5"/>
  <c r="C1997" i="5" s="1"/>
  <c r="B1996" i="5"/>
  <c r="C1996" i="5" s="1"/>
  <c r="B1995" i="5"/>
  <c r="C1995" i="5" s="1"/>
  <c r="B1994" i="5"/>
  <c r="C1994" i="5" s="1"/>
  <c r="B1993" i="5"/>
  <c r="C1993" i="5" s="1"/>
  <c r="B1992" i="5"/>
  <c r="C1992" i="5" s="1"/>
  <c r="B1991" i="5"/>
  <c r="C1991" i="5" s="1"/>
  <c r="B1990" i="5"/>
  <c r="C1990" i="5" s="1"/>
  <c r="B1989" i="5"/>
  <c r="C1989" i="5" s="1"/>
  <c r="B1988" i="5"/>
  <c r="C1988" i="5" s="1"/>
  <c r="B1987" i="5"/>
  <c r="C1987" i="5" s="1"/>
  <c r="B1986" i="5"/>
  <c r="C1986" i="5" s="1"/>
  <c r="B1985" i="5"/>
  <c r="C1985" i="5" s="1"/>
  <c r="B1984" i="5"/>
  <c r="C1984" i="5" s="1"/>
  <c r="B1983" i="5"/>
  <c r="C1983" i="5" s="1"/>
  <c r="B1982" i="5"/>
  <c r="C1982" i="5" s="1"/>
  <c r="B1981" i="5"/>
  <c r="C1981" i="5" s="1"/>
  <c r="B1980" i="5"/>
  <c r="C1980" i="5" s="1"/>
  <c r="B1979" i="5"/>
  <c r="C1979" i="5" s="1"/>
  <c r="B1978" i="5"/>
  <c r="C1978" i="5" s="1"/>
  <c r="B1977" i="5"/>
  <c r="C1977" i="5" s="1"/>
  <c r="B1976" i="5"/>
  <c r="C1976" i="5" s="1"/>
  <c r="B1975" i="5"/>
  <c r="C1975" i="5" s="1"/>
  <c r="B1974" i="5"/>
  <c r="C1974" i="5" s="1"/>
  <c r="B1973" i="5"/>
  <c r="C1973" i="5" s="1"/>
  <c r="B1972" i="5"/>
  <c r="C1972" i="5" s="1"/>
  <c r="B1971" i="5"/>
  <c r="C1971" i="5" s="1"/>
  <c r="B1970" i="5"/>
  <c r="C1970" i="5" s="1"/>
  <c r="B1969" i="5"/>
  <c r="C1969" i="5" s="1"/>
  <c r="B1968" i="5"/>
  <c r="C1968" i="5" s="1"/>
  <c r="B1967" i="5"/>
  <c r="C1967" i="5" s="1"/>
  <c r="B1966" i="5"/>
  <c r="C1966" i="5" s="1"/>
  <c r="B1965" i="5"/>
  <c r="C1965" i="5" s="1"/>
  <c r="B1964" i="5"/>
  <c r="C1964" i="5" s="1"/>
  <c r="B1963" i="5"/>
  <c r="C1963" i="5" s="1"/>
  <c r="B1962" i="5"/>
  <c r="C1962" i="5" s="1"/>
  <c r="B1961" i="5"/>
  <c r="C1961" i="5" s="1"/>
  <c r="B1960" i="5"/>
  <c r="C1960" i="5" s="1"/>
  <c r="B1959" i="5"/>
  <c r="C1959" i="5" s="1"/>
  <c r="B1958" i="5"/>
  <c r="C1958" i="5" s="1"/>
  <c r="B1957" i="5"/>
  <c r="C1957" i="5" s="1"/>
  <c r="B1956" i="5"/>
  <c r="C1956" i="5" s="1"/>
  <c r="B1955" i="5"/>
  <c r="C1955" i="5" s="1"/>
  <c r="B1954" i="5"/>
  <c r="C1954" i="5" s="1"/>
  <c r="B1953" i="5"/>
  <c r="C1953" i="5" s="1"/>
  <c r="B1952" i="5"/>
  <c r="C1952" i="5" s="1"/>
  <c r="B1951" i="5"/>
  <c r="C1951" i="5" s="1"/>
  <c r="B1950" i="5"/>
  <c r="C1950" i="5" s="1"/>
  <c r="B1949" i="5"/>
  <c r="C1949" i="5" s="1"/>
  <c r="B1948" i="5"/>
  <c r="C1948" i="5" s="1"/>
  <c r="B1947" i="5"/>
  <c r="C1947" i="5" s="1"/>
  <c r="B1946" i="5"/>
  <c r="C1946" i="5" s="1"/>
  <c r="B1945" i="5"/>
  <c r="C1945" i="5" s="1"/>
  <c r="B1944" i="5"/>
  <c r="C1944" i="5" s="1"/>
  <c r="B1943" i="5"/>
  <c r="C1943" i="5" s="1"/>
  <c r="B1942" i="5"/>
  <c r="C1942" i="5" s="1"/>
  <c r="B1941" i="5"/>
  <c r="C1941" i="5" s="1"/>
  <c r="B1940" i="5"/>
  <c r="C1940" i="5" s="1"/>
  <c r="B1939" i="5"/>
  <c r="C1939" i="5" s="1"/>
  <c r="B1938" i="5"/>
  <c r="C1938" i="5" s="1"/>
  <c r="B1937" i="5"/>
  <c r="C1937" i="5" s="1"/>
  <c r="B1936" i="5"/>
  <c r="C1936" i="5" s="1"/>
  <c r="B1935" i="5"/>
  <c r="C1935" i="5" s="1"/>
  <c r="B1934" i="5"/>
  <c r="C1934" i="5" s="1"/>
  <c r="B1933" i="5"/>
  <c r="C1933" i="5" s="1"/>
  <c r="B1932" i="5"/>
  <c r="C1932" i="5" s="1"/>
  <c r="B1931" i="5"/>
  <c r="C1931" i="5" s="1"/>
  <c r="B1930" i="5"/>
  <c r="C1930" i="5" s="1"/>
  <c r="B1929" i="5"/>
  <c r="C1929" i="5" s="1"/>
  <c r="B1928" i="5"/>
  <c r="C1928" i="5" s="1"/>
  <c r="B1927" i="5"/>
  <c r="C1927" i="5" s="1"/>
  <c r="B1926" i="5"/>
  <c r="C1926" i="5" s="1"/>
  <c r="B1925" i="5"/>
  <c r="C1925" i="5" s="1"/>
  <c r="B1924" i="5"/>
  <c r="C1924" i="5" s="1"/>
  <c r="B1923" i="5"/>
  <c r="C1923" i="5" s="1"/>
  <c r="B1922" i="5"/>
  <c r="C1922" i="5" s="1"/>
  <c r="B1921" i="5"/>
  <c r="C1921" i="5" s="1"/>
  <c r="B1920" i="5"/>
  <c r="C1920" i="5" s="1"/>
  <c r="B1919" i="5"/>
  <c r="C1919" i="5" s="1"/>
  <c r="B1918" i="5"/>
  <c r="C1918" i="5" s="1"/>
  <c r="B1917" i="5"/>
  <c r="C1917" i="5" s="1"/>
  <c r="B1916" i="5"/>
  <c r="C1916" i="5" s="1"/>
  <c r="B1915" i="5"/>
  <c r="C1915" i="5" s="1"/>
  <c r="B1914" i="5"/>
  <c r="C1914" i="5" s="1"/>
  <c r="B1913" i="5"/>
  <c r="C1913" i="5" s="1"/>
  <c r="B1912" i="5"/>
  <c r="C1912" i="5" s="1"/>
  <c r="B1911" i="5"/>
  <c r="C1911" i="5" s="1"/>
  <c r="B1910" i="5"/>
  <c r="C1910" i="5" s="1"/>
  <c r="B1909" i="5"/>
  <c r="C1909" i="5" s="1"/>
  <c r="B1908" i="5"/>
  <c r="C1908" i="5" s="1"/>
  <c r="B1907" i="5"/>
  <c r="C1907" i="5" s="1"/>
  <c r="B1906" i="5"/>
  <c r="C1906" i="5" s="1"/>
  <c r="B1905" i="5"/>
  <c r="C1905" i="5" s="1"/>
  <c r="B1904" i="5"/>
  <c r="C1904" i="5" s="1"/>
  <c r="B1903" i="5"/>
  <c r="C1903" i="5" s="1"/>
  <c r="B1902" i="5"/>
  <c r="C1902" i="5" s="1"/>
  <c r="B1901" i="5"/>
  <c r="C1901" i="5" s="1"/>
  <c r="B1900" i="5"/>
  <c r="C1900" i="5" s="1"/>
  <c r="B1899" i="5"/>
  <c r="C1899" i="5" s="1"/>
  <c r="B1898" i="5"/>
  <c r="C1898" i="5" s="1"/>
  <c r="B1897" i="5"/>
  <c r="C1897" i="5" s="1"/>
  <c r="B1896" i="5"/>
  <c r="C1896" i="5" s="1"/>
  <c r="B1895" i="5"/>
  <c r="C1895" i="5" s="1"/>
  <c r="B1894" i="5"/>
  <c r="C1894" i="5" s="1"/>
  <c r="B1893" i="5"/>
  <c r="C1893" i="5" s="1"/>
  <c r="B1892" i="5"/>
  <c r="C1892" i="5" s="1"/>
  <c r="B1891" i="5"/>
  <c r="C1891" i="5" s="1"/>
  <c r="B1890" i="5"/>
  <c r="C1890" i="5" s="1"/>
  <c r="B1889" i="5"/>
  <c r="C1889" i="5" s="1"/>
  <c r="B1888" i="5"/>
  <c r="C1888" i="5" s="1"/>
  <c r="B1887" i="5"/>
  <c r="C1887" i="5" s="1"/>
  <c r="B1886" i="5"/>
  <c r="C1886" i="5" s="1"/>
  <c r="B1885" i="5"/>
  <c r="C1885" i="5" s="1"/>
  <c r="B1884" i="5"/>
  <c r="C1884" i="5" s="1"/>
  <c r="B1883" i="5"/>
  <c r="C1883" i="5" s="1"/>
  <c r="B1882" i="5"/>
  <c r="C1882" i="5" s="1"/>
  <c r="B1881" i="5"/>
  <c r="C1881" i="5" s="1"/>
  <c r="B1880" i="5"/>
  <c r="C1880" i="5" s="1"/>
  <c r="B1879" i="5"/>
  <c r="C1879" i="5" s="1"/>
  <c r="B1878" i="5"/>
  <c r="C1878" i="5" s="1"/>
  <c r="B1877" i="5"/>
  <c r="C1877" i="5" s="1"/>
  <c r="B1876" i="5"/>
  <c r="C1876" i="5" s="1"/>
  <c r="B1875" i="5"/>
  <c r="C1875" i="5" s="1"/>
  <c r="B1874" i="5"/>
  <c r="C1874" i="5" s="1"/>
  <c r="B1873" i="5"/>
  <c r="C1873" i="5" s="1"/>
  <c r="B1872" i="5"/>
  <c r="C1872" i="5" s="1"/>
  <c r="B1871" i="5"/>
  <c r="C1871" i="5" s="1"/>
  <c r="B1870" i="5"/>
  <c r="C1870" i="5" s="1"/>
  <c r="B1869" i="5"/>
  <c r="C1869" i="5" s="1"/>
  <c r="B1868" i="5"/>
  <c r="C1868" i="5" s="1"/>
  <c r="B1867" i="5"/>
  <c r="C1867" i="5" s="1"/>
  <c r="B1866" i="5"/>
  <c r="C1866" i="5" s="1"/>
  <c r="B1865" i="5"/>
  <c r="C1865" i="5" s="1"/>
  <c r="B1864" i="5"/>
  <c r="C1864" i="5" s="1"/>
  <c r="B1863" i="5"/>
  <c r="C1863" i="5" s="1"/>
  <c r="B1862" i="5"/>
  <c r="C1862" i="5" s="1"/>
  <c r="B1861" i="5"/>
  <c r="C1861" i="5" s="1"/>
  <c r="B1860" i="5"/>
  <c r="C1860" i="5" s="1"/>
  <c r="B1859" i="5"/>
  <c r="C1859" i="5" s="1"/>
  <c r="B1858" i="5"/>
  <c r="C1858" i="5" s="1"/>
  <c r="B1857" i="5"/>
  <c r="C1857" i="5" s="1"/>
  <c r="B1856" i="5"/>
  <c r="C1856" i="5" s="1"/>
  <c r="B1855" i="5"/>
  <c r="C1855" i="5" s="1"/>
  <c r="B1854" i="5"/>
  <c r="C1854" i="5" s="1"/>
  <c r="B1853" i="5"/>
  <c r="C1853" i="5" s="1"/>
  <c r="B1852" i="5"/>
  <c r="C1852" i="5" s="1"/>
  <c r="B1851" i="5"/>
  <c r="C1851" i="5" s="1"/>
  <c r="B1850" i="5"/>
  <c r="C1850" i="5" s="1"/>
  <c r="B1849" i="5"/>
  <c r="C1849" i="5" s="1"/>
  <c r="B1848" i="5"/>
  <c r="C1848" i="5" s="1"/>
  <c r="B1847" i="5"/>
  <c r="C1847" i="5" s="1"/>
  <c r="B1846" i="5"/>
  <c r="C1846" i="5" s="1"/>
  <c r="B1845" i="5"/>
  <c r="C1845" i="5" s="1"/>
  <c r="B1844" i="5"/>
  <c r="C1844" i="5" s="1"/>
  <c r="B1843" i="5"/>
  <c r="C1843" i="5" s="1"/>
  <c r="B1842" i="5"/>
  <c r="C1842" i="5" s="1"/>
  <c r="B1841" i="5"/>
  <c r="C1841" i="5" s="1"/>
  <c r="B1840" i="5"/>
  <c r="C1840" i="5" s="1"/>
  <c r="B1839" i="5"/>
  <c r="C1839" i="5" s="1"/>
  <c r="B1838" i="5"/>
  <c r="C1838" i="5" s="1"/>
  <c r="B1837" i="5"/>
  <c r="C1837" i="5" s="1"/>
  <c r="B1836" i="5"/>
  <c r="C1836" i="5" s="1"/>
  <c r="B1835" i="5"/>
  <c r="C1835" i="5" s="1"/>
  <c r="B1834" i="5"/>
  <c r="C1834" i="5" s="1"/>
  <c r="B1833" i="5"/>
  <c r="C1833" i="5" s="1"/>
  <c r="B1832" i="5"/>
  <c r="C1832" i="5" s="1"/>
  <c r="B1831" i="5"/>
  <c r="C1831" i="5" s="1"/>
  <c r="B1830" i="5"/>
  <c r="C1830" i="5" s="1"/>
  <c r="B1829" i="5"/>
  <c r="C1829" i="5" s="1"/>
  <c r="B1828" i="5"/>
  <c r="C1828" i="5" s="1"/>
  <c r="B1827" i="5"/>
  <c r="C1827" i="5" s="1"/>
  <c r="B1826" i="5"/>
  <c r="C1826" i="5" s="1"/>
  <c r="B1825" i="5"/>
  <c r="C1825" i="5" s="1"/>
  <c r="B1824" i="5"/>
  <c r="C1824" i="5" s="1"/>
  <c r="B1823" i="5"/>
  <c r="C1823" i="5" s="1"/>
  <c r="B1822" i="5"/>
  <c r="C1822" i="5" s="1"/>
  <c r="B1821" i="5"/>
  <c r="C1821" i="5" s="1"/>
  <c r="B1820" i="5"/>
  <c r="C1820" i="5" s="1"/>
  <c r="B1819" i="5"/>
  <c r="C1819" i="5" s="1"/>
  <c r="B1818" i="5"/>
  <c r="C1818" i="5" s="1"/>
  <c r="B1817" i="5"/>
  <c r="C1817" i="5" s="1"/>
  <c r="B1816" i="5"/>
  <c r="C1816" i="5" s="1"/>
  <c r="B1815" i="5"/>
  <c r="C1815" i="5" s="1"/>
  <c r="B1814" i="5"/>
  <c r="C1814" i="5" s="1"/>
  <c r="B1813" i="5"/>
  <c r="C1813" i="5" s="1"/>
  <c r="B1812" i="5"/>
  <c r="C1812" i="5" s="1"/>
  <c r="B1811" i="5"/>
  <c r="C1811" i="5" s="1"/>
  <c r="B1810" i="5"/>
  <c r="C1810" i="5" s="1"/>
  <c r="B1809" i="5"/>
  <c r="C1809" i="5" s="1"/>
  <c r="B1808" i="5"/>
  <c r="C1808" i="5" s="1"/>
  <c r="B1807" i="5"/>
  <c r="C1807" i="5" s="1"/>
  <c r="B1806" i="5"/>
  <c r="C1806" i="5" s="1"/>
  <c r="B1805" i="5"/>
  <c r="C1805" i="5" s="1"/>
  <c r="B1804" i="5"/>
  <c r="C1804" i="5" s="1"/>
  <c r="B1803" i="5"/>
  <c r="C1803" i="5" s="1"/>
  <c r="B1802" i="5"/>
  <c r="C1802" i="5" s="1"/>
  <c r="B1801" i="5"/>
  <c r="C1801" i="5" s="1"/>
  <c r="B1800" i="5"/>
  <c r="C1800" i="5" s="1"/>
  <c r="B1799" i="5"/>
  <c r="C1799" i="5" s="1"/>
  <c r="B1798" i="5"/>
  <c r="C1798" i="5" s="1"/>
  <c r="B1797" i="5"/>
  <c r="C1797" i="5" s="1"/>
  <c r="B1796" i="5"/>
  <c r="C1796" i="5" s="1"/>
  <c r="B1795" i="5"/>
  <c r="C1795" i="5" s="1"/>
  <c r="B1794" i="5"/>
  <c r="C1794" i="5" s="1"/>
  <c r="B1793" i="5"/>
  <c r="C1793" i="5" s="1"/>
  <c r="B1792" i="5"/>
  <c r="C1792" i="5" s="1"/>
  <c r="B1791" i="5"/>
  <c r="C1791" i="5" s="1"/>
  <c r="B1790" i="5"/>
  <c r="C1790" i="5" s="1"/>
  <c r="B1789" i="5"/>
  <c r="C1789" i="5" s="1"/>
  <c r="B1788" i="5"/>
  <c r="C1788" i="5" s="1"/>
  <c r="B1787" i="5"/>
  <c r="C1787" i="5" s="1"/>
  <c r="B1786" i="5"/>
  <c r="C1786" i="5" s="1"/>
  <c r="B1785" i="5"/>
  <c r="C1785" i="5" s="1"/>
  <c r="B1784" i="5"/>
  <c r="C1784" i="5" s="1"/>
  <c r="B1783" i="5"/>
  <c r="C1783" i="5" s="1"/>
  <c r="B1782" i="5"/>
  <c r="C1782" i="5" s="1"/>
  <c r="B1781" i="5"/>
  <c r="C1781" i="5" s="1"/>
  <c r="B1780" i="5"/>
  <c r="C1780" i="5" s="1"/>
  <c r="B1779" i="5"/>
  <c r="C1779" i="5" s="1"/>
  <c r="B1778" i="5"/>
  <c r="C1778" i="5" s="1"/>
  <c r="B1777" i="5"/>
  <c r="C1777" i="5" s="1"/>
  <c r="B1776" i="5"/>
  <c r="C1776" i="5" s="1"/>
  <c r="B1775" i="5"/>
  <c r="C1775" i="5" s="1"/>
  <c r="B1774" i="5"/>
  <c r="C1774" i="5" s="1"/>
  <c r="B1773" i="5"/>
  <c r="C1773" i="5" s="1"/>
  <c r="B1772" i="5"/>
  <c r="C1772" i="5" s="1"/>
  <c r="B1771" i="5"/>
  <c r="C1771" i="5" s="1"/>
  <c r="B1770" i="5"/>
  <c r="C1770" i="5" s="1"/>
  <c r="B1769" i="5"/>
  <c r="C1769" i="5" s="1"/>
  <c r="B1768" i="5"/>
  <c r="C1768" i="5" s="1"/>
  <c r="B1767" i="5"/>
  <c r="C1767" i="5" s="1"/>
  <c r="B1766" i="5"/>
  <c r="C1766" i="5" s="1"/>
  <c r="B1765" i="5"/>
  <c r="C1765" i="5" s="1"/>
  <c r="B1764" i="5"/>
  <c r="C1764" i="5" s="1"/>
  <c r="B1763" i="5"/>
  <c r="C1763" i="5" s="1"/>
  <c r="B1762" i="5"/>
  <c r="C1762" i="5" s="1"/>
  <c r="B1761" i="5"/>
  <c r="C1761" i="5" s="1"/>
  <c r="B1760" i="5"/>
  <c r="C1760" i="5" s="1"/>
  <c r="B1759" i="5"/>
  <c r="C1759" i="5" s="1"/>
  <c r="B1758" i="5"/>
  <c r="C1758" i="5" s="1"/>
  <c r="B1757" i="5"/>
  <c r="C1757" i="5" s="1"/>
  <c r="B1756" i="5"/>
  <c r="C1756" i="5" s="1"/>
  <c r="B1755" i="5"/>
  <c r="C1755" i="5" s="1"/>
  <c r="B1754" i="5"/>
  <c r="C1754" i="5" s="1"/>
  <c r="B1753" i="5"/>
  <c r="C1753" i="5" s="1"/>
  <c r="B1752" i="5"/>
  <c r="C1752" i="5" s="1"/>
  <c r="B1751" i="5"/>
  <c r="C1751" i="5" s="1"/>
  <c r="B1750" i="5"/>
  <c r="C1750" i="5" s="1"/>
  <c r="B1749" i="5"/>
  <c r="C1749" i="5" s="1"/>
  <c r="B1748" i="5"/>
  <c r="C1748" i="5" s="1"/>
  <c r="B1747" i="5"/>
  <c r="C1747" i="5" s="1"/>
  <c r="B1746" i="5"/>
  <c r="C1746" i="5" s="1"/>
  <c r="B1745" i="5"/>
  <c r="C1745" i="5" s="1"/>
  <c r="B1744" i="5"/>
  <c r="C1744" i="5" s="1"/>
  <c r="B1743" i="5"/>
  <c r="C1743" i="5" s="1"/>
  <c r="B1742" i="5"/>
  <c r="C1742" i="5" s="1"/>
  <c r="B1741" i="5"/>
  <c r="C1741" i="5" s="1"/>
  <c r="B1740" i="5"/>
  <c r="C1740" i="5" s="1"/>
  <c r="B1739" i="5"/>
  <c r="C1739" i="5" s="1"/>
  <c r="B1738" i="5"/>
  <c r="C1738" i="5" s="1"/>
  <c r="B1737" i="5"/>
  <c r="C1737" i="5" s="1"/>
  <c r="B1736" i="5"/>
  <c r="C1736" i="5" s="1"/>
  <c r="B1735" i="5"/>
  <c r="C1735" i="5" s="1"/>
  <c r="B1734" i="5"/>
  <c r="C1734" i="5" s="1"/>
  <c r="B1733" i="5"/>
  <c r="C1733" i="5" s="1"/>
  <c r="B1732" i="5"/>
  <c r="C1732" i="5" s="1"/>
  <c r="B1731" i="5"/>
  <c r="C1731" i="5" s="1"/>
  <c r="B1730" i="5"/>
  <c r="C1730" i="5" s="1"/>
  <c r="B1729" i="5"/>
  <c r="C1729" i="5" s="1"/>
  <c r="B1728" i="5"/>
  <c r="C1728" i="5" s="1"/>
  <c r="B1727" i="5"/>
  <c r="C1727" i="5" s="1"/>
  <c r="B1726" i="5"/>
  <c r="C1726" i="5" s="1"/>
  <c r="B1725" i="5"/>
  <c r="C1725" i="5" s="1"/>
  <c r="B1724" i="5"/>
  <c r="C1724" i="5" s="1"/>
  <c r="B1723" i="5"/>
  <c r="C1723" i="5" s="1"/>
  <c r="B1722" i="5"/>
  <c r="C1722" i="5" s="1"/>
  <c r="B1721" i="5"/>
  <c r="C1721" i="5" s="1"/>
  <c r="B1720" i="5"/>
  <c r="C1720" i="5" s="1"/>
  <c r="B1719" i="5"/>
  <c r="C1719" i="5" s="1"/>
  <c r="B1718" i="5"/>
  <c r="C1718" i="5" s="1"/>
  <c r="B1717" i="5"/>
  <c r="C1717" i="5" s="1"/>
  <c r="B1716" i="5"/>
  <c r="C1716" i="5" s="1"/>
  <c r="B1715" i="5"/>
  <c r="C1715" i="5" s="1"/>
  <c r="B1714" i="5"/>
  <c r="C1714" i="5" s="1"/>
  <c r="B1713" i="5"/>
  <c r="C1713" i="5" s="1"/>
  <c r="B1712" i="5"/>
  <c r="C1712" i="5" s="1"/>
  <c r="B1711" i="5"/>
  <c r="C1711" i="5" s="1"/>
  <c r="B1710" i="5"/>
  <c r="C1710" i="5" s="1"/>
  <c r="B1709" i="5"/>
  <c r="C1709" i="5" s="1"/>
  <c r="B1708" i="5"/>
  <c r="C1708" i="5" s="1"/>
  <c r="B1707" i="5"/>
  <c r="C1707" i="5" s="1"/>
  <c r="B1706" i="5"/>
  <c r="C1706" i="5" s="1"/>
  <c r="B1705" i="5"/>
  <c r="C1705" i="5" s="1"/>
  <c r="B1704" i="5"/>
  <c r="C1704" i="5" s="1"/>
  <c r="B1703" i="5"/>
  <c r="C1703" i="5" s="1"/>
  <c r="B1702" i="5"/>
  <c r="C1702" i="5" s="1"/>
  <c r="B1701" i="5"/>
  <c r="C1701" i="5" s="1"/>
  <c r="B1700" i="5"/>
  <c r="C1700" i="5" s="1"/>
  <c r="B1699" i="5"/>
  <c r="C1699" i="5" s="1"/>
  <c r="B1698" i="5"/>
  <c r="C1698" i="5" s="1"/>
  <c r="B1697" i="5"/>
  <c r="C1697" i="5" s="1"/>
  <c r="B1696" i="5"/>
  <c r="C1696" i="5" s="1"/>
  <c r="B1695" i="5"/>
  <c r="C1695" i="5" s="1"/>
  <c r="B1694" i="5"/>
  <c r="C1694" i="5" s="1"/>
  <c r="B1693" i="5"/>
  <c r="C1693" i="5" s="1"/>
  <c r="B1692" i="5"/>
  <c r="C1692" i="5" s="1"/>
  <c r="B1691" i="5"/>
  <c r="C1691" i="5" s="1"/>
  <c r="B1690" i="5"/>
  <c r="C1690" i="5" s="1"/>
  <c r="B1689" i="5"/>
  <c r="C1689" i="5" s="1"/>
  <c r="B1688" i="5"/>
  <c r="C1688" i="5" s="1"/>
  <c r="B1687" i="5"/>
  <c r="C1687" i="5" s="1"/>
  <c r="B1686" i="5"/>
  <c r="C1686" i="5" s="1"/>
  <c r="B1685" i="5"/>
  <c r="C1685" i="5" s="1"/>
  <c r="B1684" i="5"/>
  <c r="C1684" i="5" s="1"/>
  <c r="B1683" i="5"/>
  <c r="C1683" i="5" s="1"/>
  <c r="B1682" i="5"/>
  <c r="C1682" i="5" s="1"/>
  <c r="B1681" i="5"/>
  <c r="C1681" i="5" s="1"/>
  <c r="B1680" i="5"/>
  <c r="C1680" i="5" s="1"/>
  <c r="B1679" i="5"/>
  <c r="C1679" i="5" s="1"/>
  <c r="B1678" i="5"/>
  <c r="C1678" i="5" s="1"/>
  <c r="B1677" i="5"/>
  <c r="C1677" i="5" s="1"/>
  <c r="B1676" i="5"/>
  <c r="C1676" i="5" s="1"/>
  <c r="B1675" i="5"/>
  <c r="C1675" i="5" s="1"/>
  <c r="B1674" i="5"/>
  <c r="C1674" i="5" s="1"/>
  <c r="B1673" i="5"/>
  <c r="C1673" i="5" s="1"/>
  <c r="B1672" i="5"/>
  <c r="C1672" i="5" s="1"/>
  <c r="B1671" i="5"/>
  <c r="C1671" i="5" s="1"/>
  <c r="B1670" i="5"/>
  <c r="C1670" i="5" s="1"/>
  <c r="B1669" i="5"/>
  <c r="C1669" i="5" s="1"/>
  <c r="B1668" i="5"/>
  <c r="C1668" i="5" s="1"/>
  <c r="B1667" i="5"/>
  <c r="C1667" i="5" s="1"/>
  <c r="B1666" i="5"/>
  <c r="C1666" i="5" s="1"/>
  <c r="B1665" i="5"/>
  <c r="C1665" i="5" s="1"/>
  <c r="B1664" i="5"/>
  <c r="C1664" i="5" s="1"/>
  <c r="B1663" i="5"/>
  <c r="C1663" i="5" s="1"/>
  <c r="B1662" i="5"/>
  <c r="C1662" i="5" s="1"/>
  <c r="B1661" i="5"/>
  <c r="C1661" i="5" s="1"/>
  <c r="B1660" i="5"/>
  <c r="C1660" i="5" s="1"/>
  <c r="B1659" i="5"/>
  <c r="C1659" i="5" s="1"/>
  <c r="B1658" i="5"/>
  <c r="C1658" i="5" s="1"/>
  <c r="B1657" i="5"/>
  <c r="C1657" i="5" s="1"/>
  <c r="B1656" i="5"/>
  <c r="C1656" i="5" s="1"/>
  <c r="B1655" i="5"/>
  <c r="C1655" i="5" s="1"/>
  <c r="B1654" i="5"/>
  <c r="C1654" i="5" s="1"/>
  <c r="B1653" i="5"/>
  <c r="C1653" i="5" s="1"/>
  <c r="B1652" i="5"/>
  <c r="C1652" i="5" s="1"/>
  <c r="B1651" i="5"/>
  <c r="C1651" i="5" s="1"/>
  <c r="B1650" i="5"/>
  <c r="C1650" i="5" s="1"/>
  <c r="B1649" i="5"/>
  <c r="C1649" i="5" s="1"/>
  <c r="B1648" i="5"/>
  <c r="C1648" i="5" s="1"/>
  <c r="B1647" i="5"/>
  <c r="C1647" i="5" s="1"/>
  <c r="B1646" i="5"/>
  <c r="C1646" i="5" s="1"/>
  <c r="B1645" i="5"/>
  <c r="C1645" i="5" s="1"/>
  <c r="B1644" i="5"/>
  <c r="C1644" i="5" s="1"/>
  <c r="B1643" i="5"/>
  <c r="C1643" i="5" s="1"/>
  <c r="B1642" i="5"/>
  <c r="C1642" i="5" s="1"/>
  <c r="B1641" i="5"/>
  <c r="C1641" i="5" s="1"/>
  <c r="B1640" i="5"/>
  <c r="C1640" i="5" s="1"/>
  <c r="B1639" i="5"/>
  <c r="C1639" i="5" s="1"/>
  <c r="B1638" i="5"/>
  <c r="C1638" i="5" s="1"/>
  <c r="B1637" i="5"/>
  <c r="C1637" i="5" s="1"/>
  <c r="B1636" i="5"/>
  <c r="C1636" i="5" s="1"/>
  <c r="B1635" i="5"/>
  <c r="C1635" i="5" s="1"/>
  <c r="B1634" i="5"/>
  <c r="C1634" i="5" s="1"/>
  <c r="B1633" i="5"/>
  <c r="C1633" i="5" s="1"/>
  <c r="B1632" i="5"/>
  <c r="C1632" i="5" s="1"/>
  <c r="B1631" i="5"/>
  <c r="C1631" i="5" s="1"/>
  <c r="B1630" i="5"/>
  <c r="C1630" i="5" s="1"/>
  <c r="B1629" i="5"/>
  <c r="C1629" i="5" s="1"/>
  <c r="B1628" i="5"/>
  <c r="C1628" i="5" s="1"/>
  <c r="B1627" i="5"/>
  <c r="C1627" i="5" s="1"/>
  <c r="B1626" i="5"/>
  <c r="C1626" i="5" s="1"/>
  <c r="B1625" i="5"/>
  <c r="C1625" i="5" s="1"/>
  <c r="B1624" i="5"/>
  <c r="C1624" i="5" s="1"/>
  <c r="B1623" i="5"/>
  <c r="C1623" i="5" s="1"/>
  <c r="B1622" i="5"/>
  <c r="C1622" i="5" s="1"/>
  <c r="B1621" i="5"/>
  <c r="C1621" i="5" s="1"/>
  <c r="B1620" i="5"/>
  <c r="C1620" i="5" s="1"/>
  <c r="B1619" i="5"/>
  <c r="C1619" i="5" s="1"/>
  <c r="B1618" i="5"/>
  <c r="C1618" i="5" s="1"/>
  <c r="B1617" i="5"/>
  <c r="C1617" i="5" s="1"/>
  <c r="B1616" i="5"/>
  <c r="C1616" i="5" s="1"/>
  <c r="B1615" i="5"/>
  <c r="C1615" i="5" s="1"/>
  <c r="B1614" i="5"/>
  <c r="C1614" i="5" s="1"/>
  <c r="B1613" i="5"/>
  <c r="C1613" i="5" s="1"/>
  <c r="B1612" i="5"/>
  <c r="C1612" i="5" s="1"/>
  <c r="B1611" i="5"/>
  <c r="C1611" i="5" s="1"/>
  <c r="B1610" i="5"/>
  <c r="C1610" i="5" s="1"/>
  <c r="B1609" i="5"/>
  <c r="C1609" i="5" s="1"/>
  <c r="B1608" i="5"/>
  <c r="C1608" i="5" s="1"/>
  <c r="B1607" i="5"/>
  <c r="C1607" i="5" s="1"/>
  <c r="B1606" i="5"/>
  <c r="C1606" i="5" s="1"/>
  <c r="B1605" i="5"/>
  <c r="C1605" i="5" s="1"/>
  <c r="B1604" i="5"/>
  <c r="C1604" i="5" s="1"/>
  <c r="B1603" i="5"/>
  <c r="C1603" i="5" s="1"/>
  <c r="B1602" i="5"/>
  <c r="C1602" i="5" s="1"/>
  <c r="B1601" i="5"/>
  <c r="C1601" i="5" s="1"/>
  <c r="B1600" i="5"/>
  <c r="C1600" i="5" s="1"/>
  <c r="B1599" i="5"/>
  <c r="C1599" i="5" s="1"/>
  <c r="B1598" i="5"/>
  <c r="C1598" i="5" s="1"/>
  <c r="B1597" i="5"/>
  <c r="C1597" i="5" s="1"/>
  <c r="B1596" i="5"/>
  <c r="C1596" i="5" s="1"/>
  <c r="B1595" i="5"/>
  <c r="C1595" i="5" s="1"/>
  <c r="B1594" i="5"/>
  <c r="C1594" i="5" s="1"/>
  <c r="B1593" i="5"/>
  <c r="C1593" i="5" s="1"/>
  <c r="B1592" i="5"/>
  <c r="C1592" i="5" s="1"/>
  <c r="B1591" i="5"/>
  <c r="C1591" i="5" s="1"/>
  <c r="B1590" i="5"/>
  <c r="C1590" i="5" s="1"/>
  <c r="B1589" i="5"/>
  <c r="C1589" i="5" s="1"/>
  <c r="B1588" i="5"/>
  <c r="C1588" i="5" s="1"/>
  <c r="B1587" i="5"/>
  <c r="C1587" i="5" s="1"/>
  <c r="B1586" i="5"/>
  <c r="C1586" i="5" s="1"/>
  <c r="B1585" i="5"/>
  <c r="C1585" i="5" s="1"/>
  <c r="B1584" i="5"/>
  <c r="C1584" i="5" s="1"/>
  <c r="B1583" i="5"/>
  <c r="C1583" i="5" s="1"/>
  <c r="B1582" i="5"/>
  <c r="C1582" i="5" s="1"/>
  <c r="B1581" i="5"/>
  <c r="C1581" i="5" s="1"/>
  <c r="B1580" i="5"/>
  <c r="C1580" i="5" s="1"/>
  <c r="B1579" i="5"/>
  <c r="C1579" i="5" s="1"/>
  <c r="B1578" i="5"/>
  <c r="C1578" i="5" s="1"/>
  <c r="B1577" i="5"/>
  <c r="C1577" i="5" s="1"/>
  <c r="B1576" i="5"/>
  <c r="C1576" i="5" s="1"/>
  <c r="B1575" i="5"/>
  <c r="C1575" i="5" s="1"/>
  <c r="B1574" i="5"/>
  <c r="C1574" i="5" s="1"/>
  <c r="B1573" i="5"/>
  <c r="C1573" i="5" s="1"/>
  <c r="B1572" i="5"/>
  <c r="C1572" i="5" s="1"/>
  <c r="B1571" i="5"/>
  <c r="C1571" i="5" s="1"/>
  <c r="B1570" i="5"/>
  <c r="C1570" i="5" s="1"/>
  <c r="B1569" i="5"/>
  <c r="C1569" i="5" s="1"/>
  <c r="B1568" i="5"/>
  <c r="C1568" i="5" s="1"/>
  <c r="B1567" i="5"/>
  <c r="C1567" i="5" s="1"/>
  <c r="B1566" i="5"/>
  <c r="C1566" i="5" s="1"/>
  <c r="B1565" i="5"/>
  <c r="C1565" i="5" s="1"/>
  <c r="B1564" i="5"/>
  <c r="C1564" i="5" s="1"/>
  <c r="B1563" i="5"/>
  <c r="C1563" i="5" s="1"/>
  <c r="B1562" i="5"/>
  <c r="C1562" i="5" s="1"/>
  <c r="B1561" i="5"/>
  <c r="C1561" i="5" s="1"/>
  <c r="B1560" i="5"/>
  <c r="C1560" i="5" s="1"/>
  <c r="B1559" i="5"/>
  <c r="C1559" i="5" s="1"/>
  <c r="B1558" i="5"/>
  <c r="C1558" i="5" s="1"/>
  <c r="B1557" i="5"/>
  <c r="C1557" i="5" s="1"/>
  <c r="B1556" i="5"/>
  <c r="C1556" i="5" s="1"/>
  <c r="B1555" i="5"/>
  <c r="C1555" i="5" s="1"/>
  <c r="B1554" i="5"/>
  <c r="C1554" i="5" s="1"/>
  <c r="B1553" i="5"/>
  <c r="C1553" i="5" s="1"/>
  <c r="B1552" i="5"/>
  <c r="C1552" i="5" s="1"/>
  <c r="B1551" i="5"/>
  <c r="C1551" i="5" s="1"/>
  <c r="B1550" i="5"/>
  <c r="C1550" i="5" s="1"/>
  <c r="B1549" i="5"/>
  <c r="C1549" i="5" s="1"/>
  <c r="B1548" i="5"/>
  <c r="C1548" i="5" s="1"/>
  <c r="B1547" i="5"/>
  <c r="C1547" i="5" s="1"/>
  <c r="B1546" i="5"/>
  <c r="C1546" i="5" s="1"/>
  <c r="B1545" i="5"/>
  <c r="C1545" i="5" s="1"/>
  <c r="B1544" i="5"/>
  <c r="C1544" i="5" s="1"/>
  <c r="B1543" i="5"/>
  <c r="C1543" i="5" s="1"/>
  <c r="B1542" i="5"/>
  <c r="C1542" i="5" s="1"/>
  <c r="B1541" i="5"/>
  <c r="C1541" i="5" s="1"/>
  <c r="B1540" i="5"/>
  <c r="C1540" i="5" s="1"/>
  <c r="B1539" i="5"/>
  <c r="C1539" i="5" s="1"/>
  <c r="B1538" i="5"/>
  <c r="C1538" i="5" s="1"/>
  <c r="B1537" i="5"/>
  <c r="C1537" i="5" s="1"/>
  <c r="B1536" i="5"/>
  <c r="C1536" i="5" s="1"/>
  <c r="B1535" i="5"/>
  <c r="C1535" i="5" s="1"/>
  <c r="B1534" i="5"/>
  <c r="C1534" i="5" s="1"/>
  <c r="B1533" i="5"/>
  <c r="C1533" i="5" s="1"/>
  <c r="B1532" i="5"/>
  <c r="C1532" i="5" s="1"/>
  <c r="B1531" i="5"/>
  <c r="C1531" i="5" s="1"/>
  <c r="B1530" i="5"/>
  <c r="C1530" i="5" s="1"/>
  <c r="B1529" i="5"/>
  <c r="C1529" i="5" s="1"/>
  <c r="B1528" i="5"/>
  <c r="C1528" i="5" s="1"/>
  <c r="B1527" i="5"/>
  <c r="C1527" i="5" s="1"/>
  <c r="B1526" i="5"/>
  <c r="C1526" i="5" s="1"/>
  <c r="B1525" i="5"/>
  <c r="C1525" i="5" s="1"/>
  <c r="B1524" i="5"/>
  <c r="C1524" i="5" s="1"/>
  <c r="B1523" i="5"/>
  <c r="C1523" i="5" s="1"/>
  <c r="B1522" i="5"/>
  <c r="C1522" i="5" s="1"/>
  <c r="B1521" i="5"/>
  <c r="C1521" i="5" s="1"/>
  <c r="B1520" i="5"/>
  <c r="C1520" i="5" s="1"/>
  <c r="B1519" i="5"/>
  <c r="C1519" i="5" s="1"/>
  <c r="B1518" i="5"/>
  <c r="C1518" i="5" s="1"/>
  <c r="B1517" i="5"/>
  <c r="C1517" i="5" s="1"/>
  <c r="B1516" i="5"/>
  <c r="C1516" i="5" s="1"/>
  <c r="B1515" i="5"/>
  <c r="C1515" i="5" s="1"/>
  <c r="B1514" i="5"/>
  <c r="C1514" i="5" s="1"/>
  <c r="B1513" i="5"/>
  <c r="C1513" i="5" s="1"/>
  <c r="B1512" i="5"/>
  <c r="C1512" i="5" s="1"/>
  <c r="B1511" i="5"/>
  <c r="C1511" i="5" s="1"/>
  <c r="B1510" i="5"/>
  <c r="C1510" i="5" s="1"/>
  <c r="B1509" i="5"/>
  <c r="C1509" i="5" s="1"/>
  <c r="B1508" i="5"/>
  <c r="C1508" i="5" s="1"/>
  <c r="B1507" i="5"/>
  <c r="C1507" i="5" s="1"/>
  <c r="B1506" i="5"/>
  <c r="C1506" i="5" s="1"/>
  <c r="B1505" i="5"/>
  <c r="C1505" i="5" s="1"/>
  <c r="B1504" i="5"/>
  <c r="C1504" i="5" s="1"/>
  <c r="B1503" i="5"/>
  <c r="C1503" i="5" s="1"/>
  <c r="B1502" i="5"/>
  <c r="C1502" i="5" s="1"/>
  <c r="B1501" i="5"/>
  <c r="C1501" i="5" s="1"/>
  <c r="B1500" i="5"/>
  <c r="C1500" i="5" s="1"/>
  <c r="B1499" i="5"/>
  <c r="C1499" i="5" s="1"/>
  <c r="B1498" i="5"/>
  <c r="C1498" i="5" s="1"/>
  <c r="B1497" i="5"/>
  <c r="C1497" i="5" s="1"/>
  <c r="B1496" i="5"/>
  <c r="C1496" i="5" s="1"/>
  <c r="B1495" i="5"/>
  <c r="C1495" i="5" s="1"/>
  <c r="B1494" i="5"/>
  <c r="C1494" i="5" s="1"/>
  <c r="B1493" i="5"/>
  <c r="C1493" i="5" s="1"/>
  <c r="B1492" i="5"/>
  <c r="C1492" i="5" s="1"/>
  <c r="B1491" i="5"/>
  <c r="C1491" i="5" s="1"/>
  <c r="B1490" i="5"/>
  <c r="C1490" i="5" s="1"/>
  <c r="B1489" i="5"/>
  <c r="C1489" i="5" s="1"/>
  <c r="B1488" i="5"/>
  <c r="C1488" i="5" s="1"/>
  <c r="B1487" i="5"/>
  <c r="C1487" i="5" s="1"/>
  <c r="B1486" i="5"/>
  <c r="C1486" i="5" s="1"/>
  <c r="B1485" i="5"/>
  <c r="C1485" i="5" s="1"/>
  <c r="B1484" i="5"/>
  <c r="C1484" i="5" s="1"/>
  <c r="B1483" i="5"/>
  <c r="C1483" i="5" s="1"/>
  <c r="B1482" i="5"/>
  <c r="C1482" i="5" s="1"/>
  <c r="B1481" i="5"/>
  <c r="C1481" i="5" s="1"/>
  <c r="B1480" i="5"/>
  <c r="C1480" i="5" s="1"/>
  <c r="B1479" i="5"/>
  <c r="C1479" i="5" s="1"/>
  <c r="B1478" i="5"/>
  <c r="C1478" i="5" s="1"/>
  <c r="B1477" i="5"/>
  <c r="C1477" i="5" s="1"/>
  <c r="B1476" i="5"/>
  <c r="C1476" i="5" s="1"/>
  <c r="B1475" i="5"/>
  <c r="C1475" i="5" s="1"/>
  <c r="B1474" i="5"/>
  <c r="C1474" i="5" s="1"/>
  <c r="B1473" i="5"/>
  <c r="C1473" i="5" s="1"/>
  <c r="B1472" i="5"/>
  <c r="C1472" i="5" s="1"/>
  <c r="B1471" i="5"/>
  <c r="C1471" i="5" s="1"/>
  <c r="B1470" i="5"/>
  <c r="C1470" i="5" s="1"/>
  <c r="B1469" i="5"/>
  <c r="C1469" i="5" s="1"/>
  <c r="B1468" i="5"/>
  <c r="C1468" i="5" s="1"/>
  <c r="B1467" i="5"/>
  <c r="C1467" i="5" s="1"/>
  <c r="B1466" i="5"/>
  <c r="C1466" i="5" s="1"/>
  <c r="B1465" i="5"/>
  <c r="C1465" i="5" s="1"/>
  <c r="B1464" i="5"/>
  <c r="C1464" i="5" s="1"/>
  <c r="B1463" i="5"/>
  <c r="C1463" i="5" s="1"/>
  <c r="B1462" i="5"/>
  <c r="C1462" i="5" s="1"/>
  <c r="B1461" i="5"/>
  <c r="C1461" i="5" s="1"/>
  <c r="B1460" i="5"/>
  <c r="C1460" i="5" s="1"/>
  <c r="B1459" i="5"/>
  <c r="C1459" i="5" s="1"/>
  <c r="B1458" i="5"/>
  <c r="C1458" i="5" s="1"/>
  <c r="B1457" i="5"/>
  <c r="C1457" i="5" s="1"/>
  <c r="B1456" i="5"/>
  <c r="C1456" i="5" s="1"/>
  <c r="B1455" i="5"/>
  <c r="C1455" i="5" s="1"/>
  <c r="B1454" i="5"/>
  <c r="C1454" i="5" s="1"/>
  <c r="B1453" i="5"/>
  <c r="C1453" i="5" s="1"/>
  <c r="B1452" i="5"/>
  <c r="C1452" i="5" s="1"/>
  <c r="B1451" i="5"/>
  <c r="C1451" i="5" s="1"/>
  <c r="B1450" i="5"/>
  <c r="C1450" i="5" s="1"/>
  <c r="B1449" i="5"/>
  <c r="C1449" i="5" s="1"/>
  <c r="B1448" i="5"/>
  <c r="C1448" i="5" s="1"/>
  <c r="B1447" i="5"/>
  <c r="C1447" i="5" s="1"/>
  <c r="B1446" i="5"/>
  <c r="C1446" i="5" s="1"/>
  <c r="B1445" i="5"/>
  <c r="C1445" i="5" s="1"/>
  <c r="B1444" i="5"/>
  <c r="C1444" i="5" s="1"/>
  <c r="B1443" i="5"/>
  <c r="C1443" i="5" s="1"/>
  <c r="B1442" i="5"/>
  <c r="C1442" i="5" s="1"/>
  <c r="B1441" i="5"/>
  <c r="C1441" i="5" s="1"/>
  <c r="B1440" i="5"/>
  <c r="C1440" i="5" s="1"/>
  <c r="B1439" i="5"/>
  <c r="C1439" i="5" s="1"/>
  <c r="B1438" i="5"/>
  <c r="C1438" i="5" s="1"/>
  <c r="B1437" i="5"/>
  <c r="C1437" i="5" s="1"/>
  <c r="B1436" i="5"/>
  <c r="C1436" i="5" s="1"/>
  <c r="B1435" i="5"/>
  <c r="C1435" i="5" s="1"/>
  <c r="B1434" i="5"/>
  <c r="C1434" i="5" s="1"/>
  <c r="B1433" i="5"/>
  <c r="C1433" i="5" s="1"/>
  <c r="B1432" i="5"/>
  <c r="C1432" i="5" s="1"/>
  <c r="B1431" i="5"/>
  <c r="C1431" i="5" s="1"/>
  <c r="B1430" i="5"/>
  <c r="C1430" i="5" s="1"/>
  <c r="B1429" i="5"/>
  <c r="C1429" i="5" s="1"/>
  <c r="B1428" i="5"/>
  <c r="C1428" i="5" s="1"/>
  <c r="B1427" i="5"/>
  <c r="C1427" i="5" s="1"/>
  <c r="B1426" i="5"/>
  <c r="C1426" i="5" s="1"/>
  <c r="B1425" i="5"/>
  <c r="C1425" i="5" s="1"/>
  <c r="B1424" i="5"/>
  <c r="C1424" i="5" s="1"/>
  <c r="B1423" i="5"/>
  <c r="C1423" i="5" s="1"/>
  <c r="B1422" i="5"/>
  <c r="C1422" i="5" s="1"/>
  <c r="B1421" i="5"/>
  <c r="C1421" i="5" s="1"/>
  <c r="B1420" i="5"/>
  <c r="C1420" i="5" s="1"/>
  <c r="B1419" i="5"/>
  <c r="C1419" i="5" s="1"/>
  <c r="B1418" i="5"/>
  <c r="C1418" i="5" s="1"/>
  <c r="B1417" i="5"/>
  <c r="C1417" i="5" s="1"/>
  <c r="B1416" i="5"/>
  <c r="C1416" i="5" s="1"/>
  <c r="B1415" i="5"/>
  <c r="C1415" i="5" s="1"/>
  <c r="B1414" i="5"/>
  <c r="C1414" i="5" s="1"/>
  <c r="B1413" i="5"/>
  <c r="C1413" i="5" s="1"/>
  <c r="B1412" i="5"/>
  <c r="C1412" i="5" s="1"/>
  <c r="B1411" i="5"/>
  <c r="C1411" i="5" s="1"/>
  <c r="B1410" i="5"/>
  <c r="C1410" i="5" s="1"/>
  <c r="B1409" i="5"/>
  <c r="C1409" i="5" s="1"/>
  <c r="B1408" i="5"/>
  <c r="C1408" i="5" s="1"/>
  <c r="B1407" i="5"/>
  <c r="C1407" i="5" s="1"/>
  <c r="B1406" i="5"/>
  <c r="C1406" i="5" s="1"/>
  <c r="B1405" i="5"/>
  <c r="C1405" i="5" s="1"/>
  <c r="B1404" i="5"/>
  <c r="C1404" i="5" s="1"/>
  <c r="B1403" i="5"/>
  <c r="C1403" i="5" s="1"/>
  <c r="B1402" i="5"/>
  <c r="C1402" i="5" s="1"/>
  <c r="B1401" i="5"/>
  <c r="C1401" i="5" s="1"/>
  <c r="B1400" i="5"/>
  <c r="C1400" i="5" s="1"/>
  <c r="B1399" i="5"/>
  <c r="C1399" i="5" s="1"/>
  <c r="B1398" i="5"/>
  <c r="C1398" i="5" s="1"/>
  <c r="B1397" i="5"/>
  <c r="C1397" i="5" s="1"/>
  <c r="B1396" i="5"/>
  <c r="C1396" i="5" s="1"/>
  <c r="B1395" i="5"/>
  <c r="C1395" i="5" s="1"/>
  <c r="B1394" i="5"/>
  <c r="C1394" i="5" s="1"/>
  <c r="B1393" i="5"/>
  <c r="C1393" i="5" s="1"/>
  <c r="B1392" i="5"/>
  <c r="C1392" i="5" s="1"/>
  <c r="B1391" i="5"/>
  <c r="C1391" i="5" s="1"/>
  <c r="B1390" i="5"/>
  <c r="C1390" i="5" s="1"/>
  <c r="B1389" i="5"/>
  <c r="C1389" i="5" s="1"/>
  <c r="B1388" i="5"/>
  <c r="C1388" i="5" s="1"/>
  <c r="B1387" i="5"/>
  <c r="C1387" i="5" s="1"/>
  <c r="B1386" i="5"/>
  <c r="C1386" i="5" s="1"/>
  <c r="B1385" i="5"/>
  <c r="C1385" i="5" s="1"/>
  <c r="B1384" i="5"/>
  <c r="C1384" i="5" s="1"/>
  <c r="B1383" i="5"/>
  <c r="C1383" i="5" s="1"/>
  <c r="B1382" i="5"/>
  <c r="C1382" i="5" s="1"/>
  <c r="B1381" i="5"/>
  <c r="C1381" i="5" s="1"/>
  <c r="B1380" i="5"/>
  <c r="C1380" i="5" s="1"/>
  <c r="B1379" i="5"/>
  <c r="C1379" i="5" s="1"/>
  <c r="B1378" i="5"/>
  <c r="C1378" i="5" s="1"/>
  <c r="B1377" i="5"/>
  <c r="C1377" i="5" s="1"/>
  <c r="B1376" i="5"/>
  <c r="C1376" i="5" s="1"/>
  <c r="B1375" i="5"/>
  <c r="C1375" i="5" s="1"/>
  <c r="B1374" i="5"/>
  <c r="C1374" i="5" s="1"/>
  <c r="B1373" i="5"/>
  <c r="C1373" i="5" s="1"/>
  <c r="B1372" i="5"/>
  <c r="C1372" i="5" s="1"/>
  <c r="B1371" i="5"/>
  <c r="C1371" i="5" s="1"/>
  <c r="B1370" i="5"/>
  <c r="C1370" i="5" s="1"/>
  <c r="B1369" i="5"/>
  <c r="C1369" i="5" s="1"/>
  <c r="B1368" i="5"/>
  <c r="C1368" i="5" s="1"/>
  <c r="B1367" i="5"/>
  <c r="C1367" i="5" s="1"/>
  <c r="B1366" i="5"/>
  <c r="C1366" i="5" s="1"/>
  <c r="B1365" i="5"/>
  <c r="C1365" i="5" s="1"/>
  <c r="B1364" i="5"/>
  <c r="C1364" i="5" s="1"/>
  <c r="B1363" i="5"/>
  <c r="C1363" i="5" s="1"/>
  <c r="B1362" i="5"/>
  <c r="C1362" i="5" s="1"/>
  <c r="B1361" i="5"/>
  <c r="C1361" i="5" s="1"/>
  <c r="B1360" i="5"/>
  <c r="C1360" i="5" s="1"/>
  <c r="B1359" i="5"/>
  <c r="C1359" i="5" s="1"/>
  <c r="B1358" i="5"/>
  <c r="C1358" i="5" s="1"/>
  <c r="B1357" i="5"/>
  <c r="C1357" i="5" s="1"/>
  <c r="B1356" i="5"/>
  <c r="C1356" i="5" s="1"/>
  <c r="B1355" i="5"/>
  <c r="C1355" i="5" s="1"/>
  <c r="B1354" i="5"/>
  <c r="C1354" i="5" s="1"/>
  <c r="B1353" i="5"/>
  <c r="C1353" i="5" s="1"/>
  <c r="B1352" i="5"/>
  <c r="C1352" i="5" s="1"/>
  <c r="B1351" i="5"/>
  <c r="C1351" i="5" s="1"/>
  <c r="B1350" i="5"/>
  <c r="C1350" i="5" s="1"/>
  <c r="B1349" i="5"/>
  <c r="C1349" i="5" s="1"/>
  <c r="B1348" i="5"/>
  <c r="C1348" i="5" s="1"/>
  <c r="B1347" i="5"/>
  <c r="C1347" i="5" s="1"/>
  <c r="B1346" i="5"/>
  <c r="C1346" i="5" s="1"/>
  <c r="B1345" i="5"/>
  <c r="C1345" i="5" s="1"/>
  <c r="B1344" i="5"/>
  <c r="C1344" i="5" s="1"/>
  <c r="B1343" i="5"/>
  <c r="C1343" i="5" s="1"/>
  <c r="B1342" i="5"/>
  <c r="C1342" i="5" s="1"/>
  <c r="B1341" i="5"/>
  <c r="C1341" i="5" s="1"/>
  <c r="B1340" i="5"/>
  <c r="C1340" i="5" s="1"/>
  <c r="B1339" i="5"/>
  <c r="C1339" i="5" s="1"/>
  <c r="B1338" i="5"/>
  <c r="C1338" i="5" s="1"/>
  <c r="B1337" i="5"/>
  <c r="C1337" i="5" s="1"/>
  <c r="B1336" i="5"/>
  <c r="C1336" i="5" s="1"/>
  <c r="B1335" i="5"/>
  <c r="C1335" i="5" s="1"/>
  <c r="B1334" i="5"/>
  <c r="C1334" i="5" s="1"/>
  <c r="B1333" i="5"/>
  <c r="C1333" i="5" s="1"/>
  <c r="B1332" i="5"/>
  <c r="C1332" i="5" s="1"/>
  <c r="B1331" i="5"/>
  <c r="C1331" i="5" s="1"/>
  <c r="B1330" i="5"/>
  <c r="C1330" i="5" s="1"/>
  <c r="B1329" i="5"/>
  <c r="C1329" i="5" s="1"/>
  <c r="B1328" i="5"/>
  <c r="C1328" i="5" s="1"/>
  <c r="B1327" i="5"/>
  <c r="C1327" i="5" s="1"/>
  <c r="B1326" i="5"/>
  <c r="C1326" i="5" s="1"/>
  <c r="B1325" i="5"/>
  <c r="C1325" i="5" s="1"/>
  <c r="B1324" i="5"/>
  <c r="C1324" i="5" s="1"/>
  <c r="B1323" i="5"/>
  <c r="C1323" i="5" s="1"/>
  <c r="B1322" i="5"/>
  <c r="C1322" i="5" s="1"/>
  <c r="B1321" i="5"/>
  <c r="C1321" i="5" s="1"/>
  <c r="B1320" i="5"/>
  <c r="C1320" i="5" s="1"/>
  <c r="B1319" i="5"/>
  <c r="C1319" i="5" s="1"/>
  <c r="B1318" i="5"/>
  <c r="C1318" i="5" s="1"/>
  <c r="B1317" i="5"/>
  <c r="C1317" i="5" s="1"/>
  <c r="B1316" i="5"/>
  <c r="C1316" i="5" s="1"/>
  <c r="B1315" i="5"/>
  <c r="C1315" i="5" s="1"/>
  <c r="B1314" i="5"/>
  <c r="C1314" i="5" s="1"/>
  <c r="B1313" i="5"/>
  <c r="C1313" i="5" s="1"/>
  <c r="B1312" i="5"/>
  <c r="C1312" i="5" s="1"/>
  <c r="B1311" i="5"/>
  <c r="C1311" i="5" s="1"/>
  <c r="B1310" i="5"/>
  <c r="C1310" i="5" s="1"/>
  <c r="B1309" i="5"/>
  <c r="C1309" i="5" s="1"/>
  <c r="B1308" i="5"/>
  <c r="C1308" i="5" s="1"/>
  <c r="B1307" i="5"/>
  <c r="C1307" i="5" s="1"/>
  <c r="B1306" i="5"/>
  <c r="C1306" i="5" s="1"/>
  <c r="B1305" i="5"/>
  <c r="C1305" i="5" s="1"/>
  <c r="B1304" i="5"/>
  <c r="C1304" i="5" s="1"/>
  <c r="B1303" i="5"/>
  <c r="C1303" i="5" s="1"/>
  <c r="B1302" i="5"/>
  <c r="C1302" i="5" s="1"/>
  <c r="B1301" i="5"/>
  <c r="C1301" i="5" s="1"/>
  <c r="B1300" i="5"/>
  <c r="C1300" i="5" s="1"/>
  <c r="B1299" i="5"/>
  <c r="C1299" i="5" s="1"/>
  <c r="B1298" i="5"/>
  <c r="C1298" i="5" s="1"/>
  <c r="B1297" i="5"/>
  <c r="C1297" i="5" s="1"/>
  <c r="B1296" i="5"/>
  <c r="C1296" i="5" s="1"/>
  <c r="B1295" i="5"/>
  <c r="C1295" i="5" s="1"/>
  <c r="B1294" i="5"/>
  <c r="C1294" i="5" s="1"/>
  <c r="B1293" i="5"/>
  <c r="C1293" i="5" s="1"/>
  <c r="B1292" i="5"/>
  <c r="C1292" i="5" s="1"/>
  <c r="B1291" i="5"/>
  <c r="C1291" i="5" s="1"/>
  <c r="B1290" i="5"/>
  <c r="C1290" i="5" s="1"/>
  <c r="B1289" i="5"/>
  <c r="C1289" i="5" s="1"/>
  <c r="B1288" i="5"/>
  <c r="C1288" i="5" s="1"/>
  <c r="B1287" i="5"/>
  <c r="C1287" i="5" s="1"/>
  <c r="B1286" i="5"/>
  <c r="C1286" i="5" s="1"/>
  <c r="B1285" i="5"/>
  <c r="C1285" i="5" s="1"/>
  <c r="B1284" i="5"/>
  <c r="C1284" i="5" s="1"/>
  <c r="B1283" i="5"/>
  <c r="C1283" i="5" s="1"/>
  <c r="B1282" i="5"/>
  <c r="C1282" i="5" s="1"/>
  <c r="B1281" i="5"/>
  <c r="C1281" i="5" s="1"/>
  <c r="B1280" i="5"/>
  <c r="C1280" i="5" s="1"/>
  <c r="B1279" i="5"/>
  <c r="C1279" i="5" s="1"/>
  <c r="B1278" i="5"/>
  <c r="C1278" i="5" s="1"/>
  <c r="B1277" i="5"/>
  <c r="C1277" i="5" s="1"/>
  <c r="B1276" i="5"/>
  <c r="C1276" i="5" s="1"/>
  <c r="B1275" i="5"/>
  <c r="C1275" i="5" s="1"/>
  <c r="B1274" i="5"/>
  <c r="C1274" i="5" s="1"/>
  <c r="B1273" i="5"/>
  <c r="C1273" i="5" s="1"/>
  <c r="B1272" i="5"/>
  <c r="C1272" i="5" s="1"/>
  <c r="B1271" i="5"/>
  <c r="C1271" i="5" s="1"/>
  <c r="B1270" i="5"/>
  <c r="C1270" i="5" s="1"/>
  <c r="B1269" i="5"/>
  <c r="C1269" i="5" s="1"/>
  <c r="B1268" i="5"/>
  <c r="C1268" i="5" s="1"/>
  <c r="B1267" i="5"/>
  <c r="C1267" i="5" s="1"/>
  <c r="B1266" i="5"/>
  <c r="C1266" i="5" s="1"/>
  <c r="B1265" i="5"/>
  <c r="C1265" i="5" s="1"/>
  <c r="B1264" i="5"/>
  <c r="C1264" i="5" s="1"/>
  <c r="B1263" i="5"/>
  <c r="C1263" i="5" s="1"/>
  <c r="B1262" i="5"/>
  <c r="C1262" i="5" s="1"/>
  <c r="B1261" i="5"/>
  <c r="C1261" i="5" s="1"/>
  <c r="B1260" i="5"/>
  <c r="C1260" i="5" s="1"/>
  <c r="B1259" i="5"/>
  <c r="C1259" i="5" s="1"/>
  <c r="B1258" i="5"/>
  <c r="C1258" i="5" s="1"/>
  <c r="B1257" i="5"/>
  <c r="C1257" i="5" s="1"/>
  <c r="B1256" i="5"/>
  <c r="C1256" i="5" s="1"/>
  <c r="B1255" i="5"/>
  <c r="C1255" i="5" s="1"/>
  <c r="B1254" i="5"/>
  <c r="C1254" i="5" s="1"/>
  <c r="B1253" i="5"/>
  <c r="C1253" i="5" s="1"/>
  <c r="B1252" i="5"/>
  <c r="C1252" i="5" s="1"/>
  <c r="B1251" i="5"/>
  <c r="C1251" i="5" s="1"/>
  <c r="B1250" i="5"/>
  <c r="C1250" i="5" s="1"/>
  <c r="B1249" i="5"/>
  <c r="C1249" i="5" s="1"/>
  <c r="B1248" i="5"/>
  <c r="C1248" i="5" s="1"/>
  <c r="B1247" i="5"/>
  <c r="C1247" i="5" s="1"/>
  <c r="B1246" i="5"/>
  <c r="C1246" i="5" s="1"/>
  <c r="B1245" i="5"/>
  <c r="C1245" i="5" s="1"/>
  <c r="B1244" i="5"/>
  <c r="C1244" i="5" s="1"/>
  <c r="B1243" i="5"/>
  <c r="C1243" i="5" s="1"/>
  <c r="B1242" i="5"/>
  <c r="C1242" i="5" s="1"/>
  <c r="B1241" i="5"/>
  <c r="C1241" i="5" s="1"/>
  <c r="B1240" i="5"/>
  <c r="C1240" i="5" s="1"/>
  <c r="B1239" i="5"/>
  <c r="C1239" i="5" s="1"/>
  <c r="B1238" i="5"/>
  <c r="C1238" i="5" s="1"/>
  <c r="B1237" i="5"/>
  <c r="C1237" i="5" s="1"/>
  <c r="B1236" i="5"/>
  <c r="C1236" i="5" s="1"/>
  <c r="B1235" i="5"/>
  <c r="C1235" i="5" s="1"/>
  <c r="B1234" i="5"/>
  <c r="C1234" i="5" s="1"/>
  <c r="B1233" i="5"/>
  <c r="C1233" i="5" s="1"/>
  <c r="B1232" i="5"/>
  <c r="C1232" i="5" s="1"/>
  <c r="B1231" i="5"/>
  <c r="C1231" i="5" s="1"/>
  <c r="B1230" i="5"/>
  <c r="C1230" i="5" s="1"/>
  <c r="B1229" i="5"/>
  <c r="C1229" i="5" s="1"/>
  <c r="B1228" i="5"/>
  <c r="C1228" i="5" s="1"/>
  <c r="B1227" i="5"/>
  <c r="C1227" i="5" s="1"/>
  <c r="B1226" i="5"/>
  <c r="C1226" i="5" s="1"/>
  <c r="B1225" i="5"/>
  <c r="C1225" i="5" s="1"/>
  <c r="B1224" i="5"/>
  <c r="C1224" i="5" s="1"/>
  <c r="B1223" i="5"/>
  <c r="C1223" i="5" s="1"/>
  <c r="B1222" i="5"/>
  <c r="C1222" i="5" s="1"/>
  <c r="B1221" i="5"/>
  <c r="C1221" i="5" s="1"/>
  <c r="B1220" i="5"/>
  <c r="C1220" i="5" s="1"/>
  <c r="B1219" i="5"/>
  <c r="C1219" i="5" s="1"/>
  <c r="B1218" i="5"/>
  <c r="C1218" i="5" s="1"/>
  <c r="B1217" i="5"/>
  <c r="C1217" i="5" s="1"/>
  <c r="B1216" i="5"/>
  <c r="C1216" i="5" s="1"/>
  <c r="B1215" i="5"/>
  <c r="C1215" i="5" s="1"/>
  <c r="B1214" i="5"/>
  <c r="C1214" i="5" s="1"/>
  <c r="B1213" i="5"/>
  <c r="C1213" i="5" s="1"/>
  <c r="B1212" i="5"/>
  <c r="C1212" i="5" s="1"/>
  <c r="B1211" i="5"/>
  <c r="C1211" i="5" s="1"/>
  <c r="B1210" i="5"/>
  <c r="C1210" i="5" s="1"/>
  <c r="B1209" i="5"/>
  <c r="C1209" i="5" s="1"/>
  <c r="B1208" i="5"/>
  <c r="C1208" i="5" s="1"/>
  <c r="B1207" i="5"/>
  <c r="C1207" i="5" s="1"/>
  <c r="B1206" i="5"/>
  <c r="C1206" i="5" s="1"/>
  <c r="B1205" i="5"/>
  <c r="C1205" i="5" s="1"/>
  <c r="B1204" i="5"/>
  <c r="C1204" i="5" s="1"/>
  <c r="B1203" i="5"/>
  <c r="C1203" i="5" s="1"/>
  <c r="B1202" i="5"/>
  <c r="C1202" i="5" s="1"/>
  <c r="B1201" i="5"/>
  <c r="C1201" i="5" s="1"/>
  <c r="B1200" i="5"/>
  <c r="C1200" i="5" s="1"/>
  <c r="B1199" i="5"/>
  <c r="C1199" i="5" s="1"/>
  <c r="B1198" i="5"/>
  <c r="C1198" i="5" s="1"/>
  <c r="B1197" i="5"/>
  <c r="C1197" i="5" s="1"/>
  <c r="B1196" i="5"/>
  <c r="C1196" i="5" s="1"/>
  <c r="B1195" i="5"/>
  <c r="C1195" i="5" s="1"/>
  <c r="B1194" i="5"/>
  <c r="C1194" i="5" s="1"/>
  <c r="B1193" i="5"/>
  <c r="C1193" i="5" s="1"/>
  <c r="B1192" i="5"/>
  <c r="C1192" i="5" s="1"/>
  <c r="B1191" i="5"/>
  <c r="C1191" i="5" s="1"/>
  <c r="B1190" i="5"/>
  <c r="C1190" i="5" s="1"/>
  <c r="B1189" i="5"/>
  <c r="C1189" i="5" s="1"/>
  <c r="B1188" i="5"/>
  <c r="C1188" i="5" s="1"/>
  <c r="B1187" i="5"/>
  <c r="C1187" i="5" s="1"/>
  <c r="B1186" i="5"/>
  <c r="C1186" i="5" s="1"/>
  <c r="B1185" i="5"/>
  <c r="C1185" i="5" s="1"/>
  <c r="B1184" i="5"/>
  <c r="C1184" i="5" s="1"/>
  <c r="B1183" i="5"/>
  <c r="C1183" i="5" s="1"/>
  <c r="B1182" i="5"/>
  <c r="C1182" i="5" s="1"/>
  <c r="B1181" i="5"/>
  <c r="C1181" i="5" s="1"/>
  <c r="B1180" i="5"/>
  <c r="C1180" i="5" s="1"/>
  <c r="B1179" i="5"/>
  <c r="C1179" i="5" s="1"/>
  <c r="B1178" i="5"/>
  <c r="C1178" i="5" s="1"/>
  <c r="B1177" i="5"/>
  <c r="C1177" i="5" s="1"/>
  <c r="B1176" i="5"/>
  <c r="C1176" i="5" s="1"/>
  <c r="B1175" i="5"/>
  <c r="C1175" i="5" s="1"/>
  <c r="B1174" i="5"/>
  <c r="C1174" i="5" s="1"/>
  <c r="B1173" i="5"/>
  <c r="C1173" i="5" s="1"/>
  <c r="B1172" i="5"/>
  <c r="C1172" i="5" s="1"/>
  <c r="B1171" i="5"/>
  <c r="C1171" i="5" s="1"/>
  <c r="B1170" i="5"/>
  <c r="C1170" i="5" s="1"/>
  <c r="B1169" i="5"/>
  <c r="C1169" i="5" s="1"/>
  <c r="B1168" i="5"/>
  <c r="C1168" i="5" s="1"/>
  <c r="B1167" i="5"/>
  <c r="C1167" i="5" s="1"/>
  <c r="B1166" i="5"/>
  <c r="C1166" i="5" s="1"/>
  <c r="B1165" i="5"/>
  <c r="C1165" i="5" s="1"/>
  <c r="B1164" i="5"/>
  <c r="C1164" i="5" s="1"/>
  <c r="B1163" i="5"/>
  <c r="C1163" i="5" s="1"/>
  <c r="B1162" i="5"/>
  <c r="C1162" i="5" s="1"/>
  <c r="B1161" i="5"/>
  <c r="C1161" i="5" s="1"/>
  <c r="B1160" i="5"/>
  <c r="C1160" i="5" s="1"/>
  <c r="B1159" i="5"/>
  <c r="C1159" i="5" s="1"/>
  <c r="B1158" i="5"/>
  <c r="C1158" i="5" s="1"/>
  <c r="B1157" i="5"/>
  <c r="C1157" i="5" s="1"/>
  <c r="B1156" i="5"/>
  <c r="C1156" i="5" s="1"/>
  <c r="B1155" i="5"/>
  <c r="C1155" i="5" s="1"/>
  <c r="B1154" i="5"/>
  <c r="C1154" i="5" s="1"/>
  <c r="B1153" i="5"/>
  <c r="C1153" i="5" s="1"/>
  <c r="B1152" i="5"/>
  <c r="C1152" i="5" s="1"/>
  <c r="B1151" i="5"/>
  <c r="C1151" i="5" s="1"/>
  <c r="B1150" i="5"/>
  <c r="C1150" i="5" s="1"/>
  <c r="B1149" i="5"/>
  <c r="C1149" i="5" s="1"/>
  <c r="B1148" i="5"/>
  <c r="C1148" i="5" s="1"/>
  <c r="B1147" i="5"/>
  <c r="C1147" i="5" s="1"/>
  <c r="B1146" i="5"/>
  <c r="C1146" i="5" s="1"/>
  <c r="B1145" i="5"/>
  <c r="C1145" i="5" s="1"/>
  <c r="B1144" i="5"/>
  <c r="C1144" i="5" s="1"/>
  <c r="B1143" i="5"/>
  <c r="C1143" i="5" s="1"/>
  <c r="B1142" i="5"/>
  <c r="C1142" i="5" s="1"/>
  <c r="B1141" i="5"/>
  <c r="C1141" i="5" s="1"/>
  <c r="B1140" i="5"/>
  <c r="C1140" i="5" s="1"/>
  <c r="B1139" i="5"/>
  <c r="C1139" i="5" s="1"/>
  <c r="B1138" i="5"/>
  <c r="C1138" i="5" s="1"/>
  <c r="B1137" i="5"/>
  <c r="C1137" i="5" s="1"/>
  <c r="B1136" i="5"/>
  <c r="C1136" i="5" s="1"/>
  <c r="B1135" i="5"/>
  <c r="C1135" i="5" s="1"/>
  <c r="B1134" i="5"/>
  <c r="C1134" i="5" s="1"/>
  <c r="B1133" i="5"/>
  <c r="C1133" i="5" s="1"/>
  <c r="B1132" i="5"/>
  <c r="C1132" i="5" s="1"/>
  <c r="B1131" i="5"/>
  <c r="C1131" i="5" s="1"/>
  <c r="B1130" i="5"/>
  <c r="C1130" i="5" s="1"/>
  <c r="B1129" i="5"/>
  <c r="C1129" i="5" s="1"/>
  <c r="B1128" i="5"/>
  <c r="C1128" i="5" s="1"/>
  <c r="B1127" i="5"/>
  <c r="C1127" i="5" s="1"/>
  <c r="B1126" i="5"/>
  <c r="C1126" i="5" s="1"/>
  <c r="B1125" i="5"/>
  <c r="C1125" i="5" s="1"/>
  <c r="B1124" i="5"/>
  <c r="C1124" i="5" s="1"/>
  <c r="B1123" i="5"/>
  <c r="C1123" i="5" s="1"/>
  <c r="B1122" i="5"/>
  <c r="C1122" i="5" s="1"/>
  <c r="B1121" i="5"/>
  <c r="C1121" i="5" s="1"/>
  <c r="B1120" i="5"/>
  <c r="C1120" i="5" s="1"/>
  <c r="B1119" i="5"/>
  <c r="C1119" i="5" s="1"/>
  <c r="B1118" i="5"/>
  <c r="C1118" i="5" s="1"/>
  <c r="B1117" i="5"/>
  <c r="C1117" i="5" s="1"/>
  <c r="B1116" i="5"/>
  <c r="C1116" i="5" s="1"/>
  <c r="B1115" i="5"/>
  <c r="C1115" i="5" s="1"/>
  <c r="B1114" i="5"/>
  <c r="C1114" i="5" s="1"/>
  <c r="B1113" i="5"/>
  <c r="C1113" i="5" s="1"/>
  <c r="B1112" i="5"/>
  <c r="C1112" i="5" s="1"/>
  <c r="B1111" i="5"/>
  <c r="C1111" i="5" s="1"/>
  <c r="B1110" i="5"/>
  <c r="C1110" i="5" s="1"/>
  <c r="B1109" i="5"/>
  <c r="C1109" i="5" s="1"/>
  <c r="B1108" i="5"/>
  <c r="C1108" i="5" s="1"/>
  <c r="B1107" i="5"/>
  <c r="C1107" i="5" s="1"/>
  <c r="B1106" i="5"/>
  <c r="C1106" i="5" s="1"/>
  <c r="B1105" i="5"/>
  <c r="C1105" i="5" s="1"/>
  <c r="B1104" i="5"/>
  <c r="C1104" i="5" s="1"/>
  <c r="B1103" i="5"/>
  <c r="C1103" i="5" s="1"/>
  <c r="B1102" i="5"/>
  <c r="C1102" i="5" s="1"/>
  <c r="B1101" i="5"/>
  <c r="C1101" i="5" s="1"/>
  <c r="B1100" i="5"/>
  <c r="C1100" i="5" s="1"/>
  <c r="B1099" i="5"/>
  <c r="C1099" i="5" s="1"/>
  <c r="B1098" i="5"/>
  <c r="C1098" i="5" s="1"/>
  <c r="B1097" i="5"/>
  <c r="C1097" i="5" s="1"/>
  <c r="B1096" i="5"/>
  <c r="C1096" i="5" s="1"/>
  <c r="B1095" i="5"/>
  <c r="C1095" i="5" s="1"/>
  <c r="B1094" i="5"/>
  <c r="C1094" i="5" s="1"/>
  <c r="B1093" i="5"/>
  <c r="C1093" i="5" s="1"/>
  <c r="B1092" i="5"/>
  <c r="C1092" i="5" s="1"/>
  <c r="B1091" i="5"/>
  <c r="C1091" i="5" s="1"/>
  <c r="B1090" i="5"/>
  <c r="C1090" i="5" s="1"/>
  <c r="B1089" i="5"/>
  <c r="C1089" i="5" s="1"/>
  <c r="B1088" i="5"/>
  <c r="C1088" i="5" s="1"/>
  <c r="B1087" i="5"/>
  <c r="C1087" i="5" s="1"/>
  <c r="B1086" i="5"/>
  <c r="C1086" i="5" s="1"/>
  <c r="B1085" i="5"/>
  <c r="C1085" i="5" s="1"/>
  <c r="B1084" i="5"/>
  <c r="C1084" i="5" s="1"/>
  <c r="B1083" i="5"/>
  <c r="C1083" i="5" s="1"/>
  <c r="B1082" i="5"/>
  <c r="C1082" i="5" s="1"/>
  <c r="B1081" i="5"/>
  <c r="C1081" i="5" s="1"/>
  <c r="B1080" i="5"/>
  <c r="C1080" i="5" s="1"/>
  <c r="B1079" i="5"/>
  <c r="C1079" i="5" s="1"/>
  <c r="B1078" i="5"/>
  <c r="C1078" i="5" s="1"/>
  <c r="B1077" i="5"/>
  <c r="C1077" i="5" s="1"/>
  <c r="B1076" i="5"/>
  <c r="C1076" i="5" s="1"/>
  <c r="B1075" i="5"/>
  <c r="C1075" i="5" s="1"/>
  <c r="B1074" i="5"/>
  <c r="C1074" i="5" s="1"/>
  <c r="B1073" i="5"/>
  <c r="C1073" i="5" s="1"/>
  <c r="B1072" i="5"/>
  <c r="C1072" i="5" s="1"/>
  <c r="B1071" i="5"/>
  <c r="C1071" i="5" s="1"/>
  <c r="B1070" i="5"/>
  <c r="C1070" i="5" s="1"/>
  <c r="B1069" i="5"/>
  <c r="C1069" i="5" s="1"/>
  <c r="B1068" i="5"/>
  <c r="C1068" i="5" s="1"/>
  <c r="B1067" i="5"/>
  <c r="C1067" i="5" s="1"/>
  <c r="B1066" i="5"/>
  <c r="C1066" i="5" s="1"/>
  <c r="B1065" i="5"/>
  <c r="C1065" i="5" s="1"/>
  <c r="B1064" i="5"/>
  <c r="C1064" i="5" s="1"/>
  <c r="B1063" i="5"/>
  <c r="C1063" i="5" s="1"/>
  <c r="B1062" i="5"/>
  <c r="C1062" i="5" s="1"/>
  <c r="B1061" i="5"/>
  <c r="C1061" i="5" s="1"/>
  <c r="B1060" i="5"/>
  <c r="C1060" i="5" s="1"/>
  <c r="B1059" i="5"/>
  <c r="C1059" i="5" s="1"/>
  <c r="B1058" i="5"/>
  <c r="C1058" i="5" s="1"/>
  <c r="B1057" i="5"/>
  <c r="C1057" i="5" s="1"/>
  <c r="B1056" i="5"/>
  <c r="C1056" i="5" s="1"/>
  <c r="B1055" i="5"/>
  <c r="C1055" i="5" s="1"/>
  <c r="B1054" i="5"/>
  <c r="C1054" i="5" s="1"/>
  <c r="B1053" i="5"/>
  <c r="C1053" i="5" s="1"/>
  <c r="B1052" i="5"/>
  <c r="C1052" i="5" s="1"/>
  <c r="B1051" i="5"/>
  <c r="C1051" i="5" s="1"/>
  <c r="B1050" i="5"/>
  <c r="C1050" i="5" s="1"/>
  <c r="B1049" i="5"/>
  <c r="C1049" i="5" s="1"/>
  <c r="B1048" i="5"/>
  <c r="C1048" i="5" s="1"/>
  <c r="B1047" i="5"/>
  <c r="C1047" i="5" s="1"/>
  <c r="B1046" i="5"/>
  <c r="C1046" i="5" s="1"/>
  <c r="B1045" i="5"/>
  <c r="C1045" i="5" s="1"/>
  <c r="B1044" i="5"/>
  <c r="C1044" i="5" s="1"/>
  <c r="B1043" i="5"/>
  <c r="C1043" i="5" s="1"/>
  <c r="B1042" i="5"/>
  <c r="C1042" i="5" s="1"/>
  <c r="B1041" i="5"/>
  <c r="C1041" i="5" s="1"/>
  <c r="B1040" i="5"/>
  <c r="C1040" i="5" s="1"/>
  <c r="B1039" i="5"/>
  <c r="C1039" i="5" s="1"/>
  <c r="B1038" i="5"/>
  <c r="C1038" i="5" s="1"/>
  <c r="B1037" i="5"/>
  <c r="C1037" i="5" s="1"/>
  <c r="B1036" i="5"/>
  <c r="C1036" i="5" s="1"/>
  <c r="B1035" i="5"/>
  <c r="C1035" i="5" s="1"/>
  <c r="B1034" i="5"/>
  <c r="C1034" i="5" s="1"/>
  <c r="B1033" i="5"/>
  <c r="C1033" i="5" s="1"/>
  <c r="B1032" i="5"/>
  <c r="C1032" i="5" s="1"/>
  <c r="B1031" i="5"/>
  <c r="C1031" i="5" s="1"/>
  <c r="B1030" i="5"/>
  <c r="C1030" i="5" s="1"/>
  <c r="B1029" i="5"/>
  <c r="C1029" i="5" s="1"/>
  <c r="B1028" i="5"/>
  <c r="C1028" i="5" s="1"/>
  <c r="B1027" i="5"/>
  <c r="C1027" i="5" s="1"/>
  <c r="B1026" i="5"/>
  <c r="C1026" i="5" s="1"/>
  <c r="B1025" i="5"/>
  <c r="C1025" i="5" s="1"/>
  <c r="B1024" i="5"/>
  <c r="C1024" i="5" s="1"/>
  <c r="B1023" i="5"/>
  <c r="C1023" i="5" s="1"/>
  <c r="B1022" i="5"/>
  <c r="C1022" i="5" s="1"/>
  <c r="B1021" i="5"/>
  <c r="C1021" i="5" s="1"/>
  <c r="B1020" i="5"/>
  <c r="C1020" i="5" s="1"/>
  <c r="B1019" i="5"/>
  <c r="C1019" i="5" s="1"/>
  <c r="B1018" i="5"/>
  <c r="C1018" i="5" s="1"/>
  <c r="B1017" i="5"/>
  <c r="C1017" i="5" s="1"/>
  <c r="B1016" i="5"/>
  <c r="C1016" i="5" s="1"/>
  <c r="B1015" i="5"/>
  <c r="C1015" i="5" s="1"/>
  <c r="B1014" i="5"/>
  <c r="C1014" i="5" s="1"/>
  <c r="B1013" i="5"/>
  <c r="C1013" i="5" s="1"/>
  <c r="B1012" i="5"/>
  <c r="C1012" i="5" s="1"/>
  <c r="B1011" i="5"/>
  <c r="C1011" i="5" s="1"/>
  <c r="B1010" i="5"/>
  <c r="C1010" i="5" s="1"/>
  <c r="B1009" i="5"/>
  <c r="C1009" i="5" s="1"/>
  <c r="B1008" i="5"/>
  <c r="C1008" i="5" s="1"/>
  <c r="B1007" i="5"/>
  <c r="C1007" i="5" s="1"/>
  <c r="B1006" i="5"/>
  <c r="C1006" i="5" s="1"/>
  <c r="B1005" i="5"/>
  <c r="C1005" i="5" s="1"/>
  <c r="B1004" i="5"/>
  <c r="C1004" i="5" s="1"/>
  <c r="B1003" i="5"/>
  <c r="C1003" i="5" s="1"/>
  <c r="B1002" i="5"/>
  <c r="C1002" i="5" s="1"/>
  <c r="B1001" i="5"/>
  <c r="C1001" i="5" s="1"/>
  <c r="B1000" i="5"/>
  <c r="C1000" i="5" s="1"/>
  <c r="B999" i="5"/>
  <c r="C999" i="5" s="1"/>
  <c r="B998" i="5"/>
  <c r="C998" i="5" s="1"/>
  <c r="B997" i="5"/>
  <c r="C997" i="5" s="1"/>
  <c r="B996" i="5"/>
  <c r="C996" i="5" s="1"/>
  <c r="B995" i="5"/>
  <c r="C995" i="5" s="1"/>
  <c r="B994" i="5"/>
  <c r="C994" i="5" s="1"/>
  <c r="B993" i="5"/>
  <c r="C993" i="5" s="1"/>
  <c r="B992" i="5"/>
  <c r="C992" i="5" s="1"/>
  <c r="B991" i="5"/>
  <c r="C991" i="5" s="1"/>
  <c r="B990" i="5"/>
  <c r="C990" i="5" s="1"/>
  <c r="B989" i="5"/>
  <c r="C989" i="5" s="1"/>
  <c r="B988" i="5"/>
  <c r="C988" i="5" s="1"/>
  <c r="B987" i="5"/>
  <c r="C987" i="5" s="1"/>
  <c r="B986" i="5"/>
  <c r="C986" i="5" s="1"/>
  <c r="B985" i="5"/>
  <c r="C985" i="5" s="1"/>
  <c r="B984" i="5"/>
  <c r="C984" i="5" s="1"/>
  <c r="B983" i="5"/>
  <c r="C983" i="5" s="1"/>
  <c r="B982" i="5"/>
  <c r="C982" i="5" s="1"/>
  <c r="B981" i="5"/>
  <c r="C981" i="5" s="1"/>
  <c r="B980" i="5"/>
  <c r="C980" i="5" s="1"/>
  <c r="B979" i="5"/>
  <c r="C979" i="5" s="1"/>
  <c r="B978" i="5"/>
  <c r="C978" i="5" s="1"/>
  <c r="B977" i="5"/>
  <c r="C977" i="5" s="1"/>
  <c r="B976" i="5"/>
  <c r="C976" i="5" s="1"/>
  <c r="B975" i="5"/>
  <c r="C975" i="5" s="1"/>
  <c r="B974" i="5"/>
  <c r="C974" i="5" s="1"/>
  <c r="B973" i="5"/>
  <c r="C973" i="5" s="1"/>
  <c r="B972" i="5"/>
  <c r="C972" i="5" s="1"/>
  <c r="B971" i="5"/>
  <c r="C971" i="5" s="1"/>
  <c r="B970" i="5"/>
  <c r="C970" i="5" s="1"/>
  <c r="B969" i="5"/>
  <c r="C969" i="5" s="1"/>
  <c r="B968" i="5"/>
  <c r="C968" i="5" s="1"/>
  <c r="B967" i="5"/>
  <c r="C967" i="5" s="1"/>
  <c r="B966" i="5"/>
  <c r="C966" i="5" s="1"/>
  <c r="B965" i="5"/>
  <c r="C965" i="5" s="1"/>
  <c r="B964" i="5"/>
  <c r="C964" i="5" s="1"/>
  <c r="B963" i="5"/>
  <c r="C963" i="5" s="1"/>
  <c r="B962" i="5"/>
  <c r="C962" i="5" s="1"/>
  <c r="B961" i="5"/>
  <c r="C961" i="5" s="1"/>
  <c r="B960" i="5"/>
  <c r="C960" i="5" s="1"/>
  <c r="B959" i="5"/>
  <c r="C959" i="5" s="1"/>
  <c r="B958" i="5"/>
  <c r="C958" i="5" s="1"/>
  <c r="B957" i="5"/>
  <c r="C957" i="5" s="1"/>
  <c r="B956" i="5"/>
  <c r="C956" i="5" s="1"/>
  <c r="B955" i="5"/>
  <c r="C955" i="5" s="1"/>
  <c r="B954" i="5"/>
  <c r="C954" i="5" s="1"/>
  <c r="B953" i="5"/>
  <c r="C953" i="5" s="1"/>
  <c r="B952" i="5"/>
  <c r="C952" i="5" s="1"/>
  <c r="B951" i="5"/>
  <c r="C951" i="5" s="1"/>
  <c r="B950" i="5"/>
  <c r="C950" i="5" s="1"/>
  <c r="B949" i="5"/>
  <c r="C949" i="5" s="1"/>
  <c r="B948" i="5"/>
  <c r="C948" i="5" s="1"/>
  <c r="B947" i="5"/>
  <c r="C947" i="5" s="1"/>
  <c r="B946" i="5"/>
  <c r="C946" i="5" s="1"/>
  <c r="B945" i="5"/>
  <c r="C945" i="5" s="1"/>
  <c r="B944" i="5"/>
  <c r="C944" i="5" s="1"/>
  <c r="B943" i="5"/>
  <c r="C943" i="5" s="1"/>
  <c r="B942" i="5"/>
  <c r="C942" i="5" s="1"/>
  <c r="B941" i="5"/>
  <c r="C941" i="5" s="1"/>
  <c r="B940" i="5"/>
  <c r="C940" i="5" s="1"/>
  <c r="B939" i="5"/>
  <c r="C939" i="5" s="1"/>
  <c r="B938" i="5"/>
  <c r="C938" i="5" s="1"/>
  <c r="B937" i="5"/>
  <c r="C937" i="5" s="1"/>
  <c r="B936" i="5"/>
  <c r="C936" i="5" s="1"/>
  <c r="B935" i="5"/>
  <c r="C935" i="5" s="1"/>
  <c r="B934" i="5"/>
  <c r="C934" i="5" s="1"/>
  <c r="B933" i="5"/>
  <c r="C933" i="5" s="1"/>
  <c r="B932" i="5"/>
  <c r="C932" i="5" s="1"/>
  <c r="B931" i="5"/>
  <c r="C931" i="5" s="1"/>
  <c r="B930" i="5"/>
  <c r="C930" i="5" s="1"/>
  <c r="B929" i="5"/>
  <c r="C929" i="5" s="1"/>
  <c r="B928" i="5"/>
  <c r="C928" i="5" s="1"/>
  <c r="B927" i="5"/>
  <c r="C927" i="5" s="1"/>
  <c r="B926" i="5"/>
  <c r="C926" i="5" s="1"/>
  <c r="B925" i="5"/>
  <c r="C925" i="5" s="1"/>
  <c r="B924" i="5"/>
  <c r="C924" i="5" s="1"/>
  <c r="B923" i="5"/>
  <c r="C923" i="5" s="1"/>
  <c r="B922" i="5"/>
  <c r="C922" i="5" s="1"/>
  <c r="B921" i="5"/>
  <c r="C921" i="5" s="1"/>
  <c r="B920" i="5"/>
  <c r="C920" i="5" s="1"/>
  <c r="B919" i="5"/>
  <c r="C919" i="5" s="1"/>
  <c r="B918" i="5"/>
  <c r="C918" i="5" s="1"/>
  <c r="B917" i="5"/>
  <c r="C917" i="5" s="1"/>
  <c r="B916" i="5"/>
  <c r="C916" i="5" s="1"/>
  <c r="B915" i="5"/>
  <c r="C915" i="5" s="1"/>
  <c r="B914" i="5"/>
  <c r="C914" i="5" s="1"/>
  <c r="B913" i="5"/>
  <c r="C913" i="5" s="1"/>
  <c r="B912" i="5"/>
  <c r="C912" i="5" s="1"/>
  <c r="B911" i="5"/>
  <c r="C911" i="5" s="1"/>
  <c r="B910" i="5"/>
  <c r="C910" i="5" s="1"/>
  <c r="B909" i="5"/>
  <c r="C909" i="5" s="1"/>
  <c r="B908" i="5"/>
  <c r="C908" i="5" s="1"/>
  <c r="B907" i="5"/>
  <c r="C907" i="5" s="1"/>
  <c r="B906" i="5"/>
  <c r="C906" i="5" s="1"/>
  <c r="B905" i="5"/>
  <c r="C905" i="5" s="1"/>
  <c r="B904" i="5"/>
  <c r="C904" i="5" s="1"/>
  <c r="B903" i="5"/>
  <c r="C903" i="5" s="1"/>
  <c r="B902" i="5"/>
  <c r="C902" i="5" s="1"/>
  <c r="B901" i="5"/>
  <c r="C901" i="5" s="1"/>
  <c r="B900" i="5"/>
  <c r="C900" i="5" s="1"/>
  <c r="B899" i="5"/>
  <c r="C899" i="5" s="1"/>
  <c r="B898" i="5"/>
  <c r="C898" i="5" s="1"/>
  <c r="B897" i="5"/>
  <c r="C897" i="5" s="1"/>
  <c r="B896" i="5"/>
  <c r="C896" i="5" s="1"/>
  <c r="B895" i="5"/>
  <c r="C895" i="5" s="1"/>
  <c r="B894" i="5"/>
  <c r="C894" i="5" s="1"/>
  <c r="B893" i="5"/>
  <c r="C893" i="5" s="1"/>
  <c r="B892" i="5"/>
  <c r="C892" i="5" s="1"/>
  <c r="B891" i="5"/>
  <c r="C891" i="5" s="1"/>
  <c r="B890" i="5"/>
  <c r="C890" i="5" s="1"/>
  <c r="B889" i="5"/>
  <c r="C889" i="5" s="1"/>
  <c r="B888" i="5"/>
  <c r="C888" i="5" s="1"/>
  <c r="B887" i="5"/>
  <c r="C887" i="5" s="1"/>
  <c r="B886" i="5"/>
  <c r="C886" i="5" s="1"/>
  <c r="B885" i="5"/>
  <c r="C885" i="5" s="1"/>
  <c r="B884" i="5"/>
  <c r="C884" i="5" s="1"/>
  <c r="B883" i="5"/>
  <c r="C883" i="5" s="1"/>
  <c r="B882" i="5"/>
  <c r="C882" i="5" s="1"/>
  <c r="B881" i="5"/>
  <c r="C881" i="5" s="1"/>
  <c r="B880" i="5"/>
  <c r="C880" i="5" s="1"/>
  <c r="B879" i="5"/>
  <c r="C879" i="5" s="1"/>
  <c r="B878" i="5"/>
  <c r="C878" i="5" s="1"/>
  <c r="B877" i="5"/>
  <c r="C877" i="5" s="1"/>
  <c r="B876" i="5"/>
  <c r="C876" i="5" s="1"/>
  <c r="B875" i="5"/>
  <c r="C875" i="5" s="1"/>
  <c r="B874" i="5"/>
  <c r="C874" i="5" s="1"/>
  <c r="B873" i="5"/>
  <c r="C873" i="5" s="1"/>
  <c r="B872" i="5"/>
  <c r="C872" i="5" s="1"/>
  <c r="B871" i="5"/>
  <c r="C871" i="5" s="1"/>
  <c r="B870" i="5"/>
  <c r="C870" i="5" s="1"/>
  <c r="B869" i="5"/>
  <c r="C869" i="5" s="1"/>
  <c r="B868" i="5"/>
  <c r="C868" i="5" s="1"/>
  <c r="B867" i="5"/>
  <c r="C867" i="5" s="1"/>
  <c r="B866" i="5"/>
  <c r="C866" i="5" s="1"/>
  <c r="B865" i="5"/>
  <c r="C865" i="5" s="1"/>
  <c r="B864" i="5"/>
  <c r="C864" i="5" s="1"/>
  <c r="B863" i="5"/>
  <c r="C863" i="5" s="1"/>
  <c r="B862" i="5"/>
  <c r="C862" i="5" s="1"/>
  <c r="B861" i="5"/>
  <c r="C861" i="5" s="1"/>
  <c r="B860" i="5"/>
  <c r="C860" i="5" s="1"/>
  <c r="B859" i="5"/>
  <c r="C859" i="5" s="1"/>
  <c r="B858" i="5"/>
  <c r="C858" i="5" s="1"/>
  <c r="B857" i="5"/>
  <c r="C857" i="5" s="1"/>
  <c r="B856" i="5"/>
  <c r="C856" i="5" s="1"/>
  <c r="B855" i="5"/>
  <c r="C855" i="5" s="1"/>
  <c r="B854" i="5"/>
  <c r="C854" i="5" s="1"/>
  <c r="B853" i="5"/>
  <c r="C853" i="5" s="1"/>
  <c r="B852" i="5"/>
  <c r="C852" i="5" s="1"/>
  <c r="B851" i="5"/>
  <c r="C851" i="5" s="1"/>
  <c r="B850" i="5"/>
  <c r="C850" i="5" s="1"/>
  <c r="B849" i="5"/>
  <c r="C849" i="5" s="1"/>
  <c r="B848" i="5"/>
  <c r="C848" i="5" s="1"/>
  <c r="B847" i="5"/>
  <c r="C847" i="5" s="1"/>
  <c r="B846" i="5"/>
  <c r="C846" i="5" s="1"/>
  <c r="B845" i="5"/>
  <c r="C845" i="5" s="1"/>
  <c r="B844" i="5"/>
  <c r="C844" i="5" s="1"/>
  <c r="B843" i="5"/>
  <c r="C843" i="5" s="1"/>
  <c r="B842" i="5"/>
  <c r="C842" i="5" s="1"/>
  <c r="B841" i="5"/>
  <c r="C841" i="5" s="1"/>
  <c r="B840" i="5"/>
  <c r="C840" i="5" s="1"/>
  <c r="B839" i="5"/>
  <c r="C839" i="5" s="1"/>
  <c r="B838" i="5"/>
  <c r="C838" i="5" s="1"/>
  <c r="B837" i="5"/>
  <c r="C837" i="5" s="1"/>
  <c r="B836" i="5"/>
  <c r="C836" i="5" s="1"/>
  <c r="B835" i="5"/>
  <c r="C835" i="5" s="1"/>
  <c r="B834" i="5"/>
  <c r="C834" i="5" s="1"/>
  <c r="B833" i="5"/>
  <c r="C833" i="5" s="1"/>
  <c r="B832" i="5"/>
  <c r="C832" i="5" s="1"/>
  <c r="B831" i="5"/>
  <c r="C831" i="5" s="1"/>
  <c r="B830" i="5"/>
  <c r="C830" i="5" s="1"/>
  <c r="B829" i="5"/>
  <c r="C829" i="5" s="1"/>
  <c r="B828" i="5"/>
  <c r="C828" i="5" s="1"/>
  <c r="B827" i="5"/>
  <c r="C827" i="5" s="1"/>
  <c r="B826" i="5"/>
  <c r="C826" i="5" s="1"/>
  <c r="B825" i="5"/>
  <c r="C825" i="5" s="1"/>
  <c r="B824" i="5"/>
  <c r="C824" i="5" s="1"/>
  <c r="B823" i="5"/>
  <c r="C823" i="5" s="1"/>
  <c r="B822" i="5"/>
  <c r="C822" i="5" s="1"/>
  <c r="B821" i="5"/>
  <c r="C821" i="5" s="1"/>
  <c r="B820" i="5"/>
  <c r="C820" i="5" s="1"/>
  <c r="B819" i="5"/>
  <c r="C819" i="5" s="1"/>
  <c r="B818" i="5"/>
  <c r="C818" i="5" s="1"/>
  <c r="B817" i="5"/>
  <c r="C817" i="5" s="1"/>
  <c r="B816" i="5"/>
  <c r="C816" i="5" s="1"/>
  <c r="B815" i="5"/>
  <c r="C815" i="5" s="1"/>
  <c r="B814" i="5"/>
  <c r="C814" i="5" s="1"/>
  <c r="B813" i="5"/>
  <c r="C813" i="5" s="1"/>
  <c r="B812" i="5"/>
  <c r="C812" i="5" s="1"/>
  <c r="B811" i="5"/>
  <c r="C811" i="5" s="1"/>
  <c r="B810" i="5"/>
  <c r="C810" i="5" s="1"/>
  <c r="B809" i="5"/>
  <c r="C809" i="5" s="1"/>
  <c r="B808" i="5"/>
  <c r="C808" i="5" s="1"/>
  <c r="B807" i="5"/>
  <c r="C807" i="5" s="1"/>
  <c r="B806" i="5"/>
  <c r="C806" i="5" s="1"/>
  <c r="B805" i="5"/>
  <c r="C805" i="5" s="1"/>
  <c r="B804" i="5"/>
  <c r="C804" i="5" s="1"/>
  <c r="B803" i="5"/>
  <c r="C803" i="5" s="1"/>
  <c r="B802" i="5"/>
  <c r="C802" i="5" s="1"/>
  <c r="B801" i="5"/>
  <c r="C801" i="5" s="1"/>
  <c r="B800" i="5"/>
  <c r="C800" i="5" s="1"/>
  <c r="B799" i="5"/>
  <c r="C799" i="5" s="1"/>
  <c r="B798" i="5"/>
  <c r="C798" i="5" s="1"/>
  <c r="B797" i="5"/>
  <c r="C797" i="5" s="1"/>
  <c r="B796" i="5"/>
  <c r="C796" i="5" s="1"/>
  <c r="B795" i="5"/>
  <c r="C795" i="5" s="1"/>
  <c r="B794" i="5"/>
  <c r="C794" i="5" s="1"/>
  <c r="B793" i="5"/>
  <c r="C793" i="5" s="1"/>
  <c r="B792" i="5"/>
  <c r="C792" i="5" s="1"/>
  <c r="B791" i="5"/>
  <c r="C791" i="5" s="1"/>
  <c r="B790" i="5"/>
  <c r="C790" i="5" s="1"/>
  <c r="B789" i="5"/>
  <c r="C789" i="5" s="1"/>
  <c r="B788" i="5"/>
  <c r="C788" i="5" s="1"/>
  <c r="B787" i="5"/>
  <c r="C787" i="5" s="1"/>
  <c r="B786" i="5"/>
  <c r="C786" i="5" s="1"/>
  <c r="B785" i="5"/>
  <c r="C785" i="5" s="1"/>
  <c r="B784" i="5"/>
  <c r="C784" i="5" s="1"/>
  <c r="B783" i="5"/>
  <c r="C783" i="5" s="1"/>
  <c r="B782" i="5"/>
  <c r="C782" i="5" s="1"/>
  <c r="B781" i="5"/>
  <c r="C781" i="5" s="1"/>
  <c r="B780" i="5"/>
  <c r="C780" i="5" s="1"/>
  <c r="B779" i="5"/>
  <c r="C779" i="5" s="1"/>
  <c r="B778" i="5"/>
  <c r="C778" i="5" s="1"/>
  <c r="B777" i="5"/>
  <c r="C777" i="5" s="1"/>
  <c r="B776" i="5"/>
  <c r="C776" i="5" s="1"/>
  <c r="B775" i="5"/>
  <c r="C775" i="5" s="1"/>
  <c r="B774" i="5"/>
  <c r="C774" i="5" s="1"/>
  <c r="B773" i="5"/>
  <c r="C773" i="5" s="1"/>
  <c r="B772" i="5"/>
  <c r="C772" i="5" s="1"/>
  <c r="B771" i="5"/>
  <c r="C771" i="5" s="1"/>
  <c r="B770" i="5"/>
  <c r="C770" i="5" s="1"/>
  <c r="B769" i="5"/>
  <c r="C769" i="5" s="1"/>
  <c r="B768" i="5"/>
  <c r="C768" i="5" s="1"/>
  <c r="B767" i="5"/>
  <c r="C767" i="5" s="1"/>
  <c r="B766" i="5"/>
  <c r="C766" i="5" s="1"/>
  <c r="B765" i="5"/>
  <c r="C765" i="5" s="1"/>
  <c r="B764" i="5"/>
  <c r="C764" i="5" s="1"/>
  <c r="B763" i="5"/>
  <c r="C763" i="5" s="1"/>
  <c r="B762" i="5"/>
  <c r="C762" i="5" s="1"/>
  <c r="B761" i="5"/>
  <c r="C761" i="5" s="1"/>
  <c r="B760" i="5"/>
  <c r="C760" i="5" s="1"/>
  <c r="B759" i="5"/>
  <c r="C759" i="5" s="1"/>
  <c r="B758" i="5"/>
  <c r="C758" i="5" s="1"/>
  <c r="B757" i="5"/>
  <c r="C757" i="5" s="1"/>
  <c r="B756" i="5"/>
  <c r="C756" i="5" s="1"/>
  <c r="B755" i="5"/>
  <c r="C755" i="5" s="1"/>
  <c r="B754" i="5"/>
  <c r="C754" i="5" s="1"/>
  <c r="B753" i="5"/>
  <c r="C753" i="5" s="1"/>
  <c r="B752" i="5"/>
  <c r="C752" i="5" s="1"/>
  <c r="B751" i="5"/>
  <c r="C751" i="5" s="1"/>
  <c r="B750" i="5"/>
  <c r="C750" i="5" s="1"/>
  <c r="B749" i="5"/>
  <c r="C749" i="5" s="1"/>
  <c r="B748" i="5"/>
  <c r="C748" i="5" s="1"/>
  <c r="B747" i="5"/>
  <c r="C747" i="5" s="1"/>
  <c r="B746" i="5"/>
  <c r="C746" i="5" s="1"/>
  <c r="B745" i="5"/>
  <c r="C745" i="5" s="1"/>
  <c r="B744" i="5"/>
  <c r="C744" i="5" s="1"/>
  <c r="B743" i="5"/>
  <c r="C743" i="5" s="1"/>
  <c r="B742" i="5"/>
  <c r="C742" i="5" s="1"/>
  <c r="B741" i="5"/>
  <c r="C741" i="5" s="1"/>
  <c r="B740" i="5"/>
  <c r="C740" i="5" s="1"/>
  <c r="B739" i="5"/>
  <c r="C739" i="5" s="1"/>
  <c r="B738" i="5"/>
  <c r="C738" i="5" s="1"/>
  <c r="B737" i="5"/>
  <c r="C737" i="5" s="1"/>
  <c r="B736" i="5"/>
  <c r="C736" i="5" s="1"/>
  <c r="B735" i="5"/>
  <c r="C735" i="5" s="1"/>
  <c r="B734" i="5"/>
  <c r="C734" i="5" s="1"/>
  <c r="B733" i="5"/>
  <c r="C733" i="5" s="1"/>
  <c r="B732" i="5"/>
  <c r="C732" i="5" s="1"/>
  <c r="B731" i="5"/>
  <c r="C731" i="5" s="1"/>
  <c r="B730" i="5"/>
  <c r="C730" i="5" s="1"/>
  <c r="B729" i="5"/>
  <c r="C729" i="5" s="1"/>
  <c r="B728" i="5"/>
  <c r="C728" i="5" s="1"/>
  <c r="B727" i="5"/>
  <c r="C727" i="5" s="1"/>
  <c r="B726" i="5"/>
  <c r="C726" i="5" s="1"/>
  <c r="B725" i="5"/>
  <c r="C725" i="5" s="1"/>
  <c r="B724" i="5"/>
  <c r="C724" i="5" s="1"/>
  <c r="B723" i="5"/>
  <c r="C723" i="5" s="1"/>
  <c r="B722" i="5"/>
  <c r="C722" i="5" s="1"/>
  <c r="B721" i="5"/>
  <c r="C721" i="5" s="1"/>
  <c r="B720" i="5"/>
  <c r="C720" i="5" s="1"/>
  <c r="B719" i="5"/>
  <c r="C719" i="5" s="1"/>
  <c r="B718" i="5"/>
  <c r="C718" i="5" s="1"/>
  <c r="B717" i="5"/>
  <c r="C717" i="5" s="1"/>
  <c r="B716" i="5"/>
  <c r="C716" i="5" s="1"/>
  <c r="B715" i="5"/>
  <c r="C715" i="5" s="1"/>
  <c r="B714" i="5"/>
  <c r="C714" i="5" s="1"/>
  <c r="B713" i="5"/>
  <c r="C713" i="5" s="1"/>
  <c r="B712" i="5"/>
  <c r="C712" i="5" s="1"/>
  <c r="B711" i="5"/>
  <c r="C711" i="5" s="1"/>
  <c r="B710" i="5"/>
  <c r="C710" i="5" s="1"/>
  <c r="B709" i="5"/>
  <c r="C709" i="5" s="1"/>
  <c r="B708" i="5"/>
  <c r="C708" i="5" s="1"/>
  <c r="B707" i="5"/>
  <c r="C707" i="5" s="1"/>
  <c r="B706" i="5"/>
  <c r="C706" i="5" s="1"/>
  <c r="B705" i="5"/>
  <c r="C705" i="5" s="1"/>
  <c r="B704" i="5"/>
  <c r="C704" i="5" s="1"/>
  <c r="B703" i="5"/>
  <c r="C703" i="5" s="1"/>
  <c r="B702" i="5"/>
  <c r="C702" i="5" s="1"/>
  <c r="B701" i="5"/>
  <c r="C701" i="5" s="1"/>
  <c r="B700" i="5"/>
  <c r="C700" i="5" s="1"/>
  <c r="B699" i="5"/>
  <c r="C699" i="5" s="1"/>
  <c r="B698" i="5"/>
  <c r="C698" i="5" s="1"/>
  <c r="B697" i="5"/>
  <c r="C697" i="5" s="1"/>
  <c r="B696" i="5"/>
  <c r="C696" i="5" s="1"/>
  <c r="B695" i="5"/>
  <c r="C695" i="5" s="1"/>
  <c r="B694" i="5"/>
  <c r="C694" i="5" s="1"/>
  <c r="B693" i="5"/>
  <c r="C693" i="5" s="1"/>
  <c r="B692" i="5"/>
  <c r="C692" i="5" s="1"/>
  <c r="B691" i="5"/>
  <c r="C691" i="5" s="1"/>
  <c r="B690" i="5"/>
  <c r="C690" i="5" s="1"/>
  <c r="B689" i="5"/>
  <c r="C689" i="5" s="1"/>
  <c r="B688" i="5"/>
  <c r="C688" i="5" s="1"/>
  <c r="B687" i="5"/>
  <c r="C687" i="5" s="1"/>
  <c r="B686" i="5"/>
  <c r="C686" i="5" s="1"/>
  <c r="B685" i="5"/>
  <c r="C685" i="5" s="1"/>
  <c r="B684" i="5"/>
  <c r="C684" i="5" s="1"/>
  <c r="B683" i="5"/>
  <c r="C683" i="5" s="1"/>
  <c r="B682" i="5"/>
  <c r="C682" i="5" s="1"/>
  <c r="B681" i="5"/>
  <c r="C681" i="5" s="1"/>
  <c r="B680" i="5"/>
  <c r="C680" i="5" s="1"/>
  <c r="B679" i="5"/>
  <c r="C679" i="5" s="1"/>
  <c r="B678" i="5"/>
  <c r="C678" i="5" s="1"/>
  <c r="B677" i="5"/>
  <c r="C677" i="5" s="1"/>
  <c r="B676" i="5"/>
  <c r="C676" i="5" s="1"/>
  <c r="B675" i="5"/>
  <c r="C675" i="5" s="1"/>
  <c r="B674" i="5"/>
  <c r="C674" i="5" s="1"/>
  <c r="B673" i="5"/>
  <c r="C673" i="5" s="1"/>
  <c r="B672" i="5"/>
  <c r="C672" i="5" s="1"/>
  <c r="B671" i="5"/>
  <c r="C671" i="5" s="1"/>
  <c r="B670" i="5"/>
  <c r="C670" i="5" s="1"/>
  <c r="B669" i="5"/>
  <c r="C669" i="5" s="1"/>
  <c r="B668" i="5"/>
  <c r="C668" i="5" s="1"/>
  <c r="B667" i="5"/>
  <c r="C667" i="5" s="1"/>
  <c r="B666" i="5"/>
  <c r="C666" i="5" s="1"/>
  <c r="B665" i="5"/>
  <c r="C665" i="5" s="1"/>
  <c r="B664" i="5"/>
  <c r="C664" i="5" s="1"/>
  <c r="B663" i="5"/>
  <c r="C663" i="5" s="1"/>
  <c r="B662" i="5"/>
  <c r="C662" i="5" s="1"/>
  <c r="B661" i="5"/>
  <c r="C661" i="5" s="1"/>
  <c r="B660" i="5"/>
  <c r="C660" i="5" s="1"/>
  <c r="B659" i="5"/>
  <c r="C659" i="5" s="1"/>
  <c r="B658" i="5"/>
  <c r="C658" i="5" s="1"/>
  <c r="B657" i="5"/>
  <c r="C657" i="5" s="1"/>
  <c r="B656" i="5"/>
  <c r="C656" i="5" s="1"/>
  <c r="B655" i="5"/>
  <c r="C655" i="5" s="1"/>
  <c r="B654" i="5"/>
  <c r="C654" i="5" s="1"/>
  <c r="B653" i="5"/>
  <c r="C653" i="5" s="1"/>
  <c r="B652" i="5"/>
  <c r="C652" i="5" s="1"/>
  <c r="B651" i="5"/>
  <c r="C651" i="5" s="1"/>
  <c r="B650" i="5"/>
  <c r="C650" i="5" s="1"/>
  <c r="B649" i="5"/>
  <c r="C649" i="5" s="1"/>
  <c r="B648" i="5"/>
  <c r="C648" i="5" s="1"/>
  <c r="B647" i="5"/>
  <c r="C647" i="5" s="1"/>
  <c r="B646" i="5"/>
  <c r="C646" i="5" s="1"/>
  <c r="B645" i="5"/>
  <c r="C645" i="5" s="1"/>
  <c r="B644" i="5"/>
  <c r="C644" i="5" s="1"/>
  <c r="B643" i="5"/>
  <c r="C643" i="5" s="1"/>
  <c r="B642" i="5"/>
  <c r="C642" i="5" s="1"/>
  <c r="B641" i="5"/>
  <c r="C641" i="5" s="1"/>
  <c r="B640" i="5"/>
  <c r="C640" i="5" s="1"/>
  <c r="B639" i="5"/>
  <c r="C639" i="5" s="1"/>
  <c r="B638" i="5"/>
  <c r="C638" i="5" s="1"/>
  <c r="B637" i="5"/>
  <c r="C637" i="5" s="1"/>
  <c r="B636" i="5"/>
  <c r="C636" i="5" s="1"/>
  <c r="B635" i="5"/>
  <c r="C635" i="5" s="1"/>
  <c r="B634" i="5"/>
  <c r="C634" i="5" s="1"/>
  <c r="B633" i="5"/>
  <c r="C633" i="5" s="1"/>
  <c r="B632" i="5"/>
  <c r="C632" i="5" s="1"/>
  <c r="B631" i="5"/>
  <c r="C631" i="5" s="1"/>
  <c r="B630" i="5"/>
  <c r="C630" i="5" s="1"/>
  <c r="B629" i="5"/>
  <c r="C629" i="5" s="1"/>
  <c r="B628" i="5"/>
  <c r="C628" i="5" s="1"/>
  <c r="B627" i="5"/>
  <c r="C627" i="5" s="1"/>
  <c r="B626" i="5"/>
  <c r="C626" i="5" s="1"/>
  <c r="B625" i="5"/>
  <c r="C625" i="5" s="1"/>
  <c r="B624" i="5"/>
  <c r="C624" i="5" s="1"/>
  <c r="B623" i="5"/>
  <c r="C623" i="5" s="1"/>
  <c r="B622" i="5"/>
  <c r="C622" i="5" s="1"/>
  <c r="B621" i="5"/>
  <c r="C621" i="5" s="1"/>
  <c r="B620" i="5"/>
  <c r="C620" i="5" s="1"/>
  <c r="B619" i="5"/>
  <c r="C619" i="5" s="1"/>
  <c r="B618" i="5"/>
  <c r="C618" i="5" s="1"/>
  <c r="B617" i="5"/>
  <c r="C617" i="5" s="1"/>
  <c r="B616" i="5"/>
  <c r="C616" i="5" s="1"/>
  <c r="B615" i="5"/>
  <c r="C615" i="5" s="1"/>
  <c r="B614" i="5"/>
  <c r="C614" i="5" s="1"/>
  <c r="B613" i="5"/>
  <c r="C613" i="5" s="1"/>
  <c r="B612" i="5"/>
  <c r="C612" i="5" s="1"/>
  <c r="B611" i="5"/>
  <c r="C611" i="5" s="1"/>
  <c r="B610" i="5"/>
  <c r="C610" i="5" s="1"/>
  <c r="B609" i="5"/>
  <c r="C609" i="5" s="1"/>
  <c r="B608" i="5"/>
  <c r="C608" i="5" s="1"/>
  <c r="B607" i="5"/>
  <c r="C607" i="5" s="1"/>
  <c r="B606" i="5"/>
  <c r="C606" i="5" s="1"/>
  <c r="B605" i="5"/>
  <c r="C605" i="5" s="1"/>
  <c r="B604" i="5"/>
  <c r="C604" i="5" s="1"/>
  <c r="B603" i="5"/>
  <c r="C603" i="5" s="1"/>
  <c r="B602" i="5"/>
  <c r="C602" i="5" s="1"/>
  <c r="B601" i="5"/>
  <c r="C601" i="5" s="1"/>
  <c r="B600" i="5"/>
  <c r="C600" i="5" s="1"/>
  <c r="B599" i="5"/>
  <c r="C599" i="5" s="1"/>
  <c r="B598" i="5"/>
  <c r="C598" i="5" s="1"/>
  <c r="B597" i="5"/>
  <c r="C597" i="5" s="1"/>
  <c r="B596" i="5"/>
  <c r="C596" i="5" s="1"/>
  <c r="B595" i="5"/>
  <c r="C595" i="5" s="1"/>
  <c r="B594" i="5"/>
  <c r="C594" i="5" s="1"/>
  <c r="B593" i="5"/>
  <c r="C593" i="5" s="1"/>
  <c r="B592" i="5"/>
  <c r="C592" i="5" s="1"/>
  <c r="B591" i="5"/>
  <c r="C591" i="5" s="1"/>
  <c r="B590" i="5"/>
  <c r="C590" i="5" s="1"/>
  <c r="B589" i="5"/>
  <c r="C589" i="5" s="1"/>
  <c r="B588" i="5"/>
  <c r="C588" i="5" s="1"/>
  <c r="B587" i="5"/>
  <c r="C587" i="5" s="1"/>
  <c r="B586" i="5"/>
  <c r="C586" i="5" s="1"/>
  <c r="B585" i="5"/>
  <c r="C585" i="5" s="1"/>
  <c r="B584" i="5"/>
  <c r="C584" i="5" s="1"/>
  <c r="B583" i="5"/>
  <c r="C583" i="5" s="1"/>
  <c r="B582" i="5"/>
  <c r="C582" i="5" s="1"/>
  <c r="B581" i="5"/>
  <c r="C581" i="5" s="1"/>
  <c r="B580" i="5"/>
  <c r="C580" i="5" s="1"/>
  <c r="B579" i="5"/>
  <c r="C579" i="5" s="1"/>
  <c r="B578" i="5"/>
  <c r="C578" i="5" s="1"/>
  <c r="B577" i="5"/>
  <c r="C577" i="5" s="1"/>
  <c r="B576" i="5"/>
  <c r="C576" i="5" s="1"/>
  <c r="B575" i="5"/>
  <c r="C575" i="5" s="1"/>
  <c r="B574" i="5"/>
  <c r="C574" i="5" s="1"/>
  <c r="B573" i="5"/>
  <c r="C573" i="5" s="1"/>
  <c r="B572" i="5"/>
  <c r="C572" i="5" s="1"/>
  <c r="B571" i="5"/>
  <c r="C571" i="5" s="1"/>
  <c r="B570" i="5"/>
  <c r="C570" i="5" s="1"/>
  <c r="B569" i="5"/>
  <c r="C569" i="5" s="1"/>
  <c r="B568" i="5"/>
  <c r="C568" i="5" s="1"/>
  <c r="B567" i="5"/>
  <c r="C567" i="5" s="1"/>
  <c r="B566" i="5"/>
  <c r="C566" i="5" s="1"/>
  <c r="B565" i="5"/>
  <c r="C565" i="5" s="1"/>
  <c r="B564" i="5"/>
  <c r="C564" i="5" s="1"/>
  <c r="B563" i="5"/>
  <c r="C563" i="5" s="1"/>
  <c r="B562" i="5"/>
  <c r="C562" i="5" s="1"/>
  <c r="B561" i="5"/>
  <c r="C561" i="5" s="1"/>
  <c r="B560" i="5"/>
  <c r="C560" i="5" s="1"/>
  <c r="B559" i="5"/>
  <c r="C559" i="5" s="1"/>
  <c r="B558" i="5"/>
  <c r="C558" i="5" s="1"/>
  <c r="B557" i="5"/>
  <c r="C557" i="5" s="1"/>
  <c r="B556" i="5"/>
  <c r="C556" i="5" s="1"/>
  <c r="B555" i="5"/>
  <c r="C555" i="5" s="1"/>
  <c r="B554" i="5"/>
  <c r="C554" i="5" s="1"/>
  <c r="B553" i="5"/>
  <c r="C553" i="5" s="1"/>
  <c r="B552" i="5"/>
  <c r="C552" i="5" s="1"/>
  <c r="B551" i="5"/>
  <c r="C551" i="5" s="1"/>
  <c r="B550" i="5"/>
  <c r="C550" i="5" s="1"/>
  <c r="B549" i="5"/>
  <c r="C549" i="5" s="1"/>
  <c r="B548" i="5"/>
  <c r="C548" i="5" s="1"/>
  <c r="B547" i="5"/>
  <c r="C547" i="5" s="1"/>
  <c r="B546" i="5"/>
  <c r="C546" i="5" s="1"/>
  <c r="B545" i="5"/>
  <c r="C545" i="5" s="1"/>
  <c r="B544" i="5"/>
  <c r="C544" i="5" s="1"/>
  <c r="B543" i="5"/>
  <c r="C543" i="5" s="1"/>
  <c r="B542" i="5"/>
  <c r="C542" i="5" s="1"/>
  <c r="B541" i="5"/>
  <c r="C541" i="5" s="1"/>
  <c r="B540" i="5"/>
  <c r="C540" i="5" s="1"/>
  <c r="B539" i="5"/>
  <c r="C539" i="5" s="1"/>
  <c r="B538" i="5"/>
  <c r="C538" i="5" s="1"/>
  <c r="B537" i="5"/>
  <c r="C537" i="5" s="1"/>
  <c r="B536" i="5"/>
  <c r="C536" i="5" s="1"/>
  <c r="B535" i="5"/>
  <c r="C535" i="5" s="1"/>
  <c r="B534" i="5"/>
  <c r="C534" i="5" s="1"/>
  <c r="B533" i="5"/>
  <c r="C533" i="5" s="1"/>
  <c r="B532" i="5"/>
  <c r="C532" i="5" s="1"/>
  <c r="B531" i="5"/>
  <c r="C531" i="5" s="1"/>
  <c r="B530" i="5"/>
  <c r="C530" i="5" s="1"/>
  <c r="B529" i="5"/>
  <c r="C529" i="5" s="1"/>
  <c r="B528" i="5"/>
  <c r="C528" i="5" s="1"/>
  <c r="B527" i="5"/>
  <c r="C527" i="5" s="1"/>
  <c r="B526" i="5"/>
  <c r="C526" i="5" s="1"/>
  <c r="B525" i="5"/>
  <c r="C525" i="5" s="1"/>
  <c r="B524" i="5"/>
  <c r="C524" i="5" s="1"/>
  <c r="B523" i="5"/>
  <c r="C523" i="5" s="1"/>
  <c r="B522" i="5"/>
  <c r="C522" i="5" s="1"/>
  <c r="B521" i="5"/>
  <c r="C521" i="5" s="1"/>
  <c r="B520" i="5"/>
  <c r="C520" i="5" s="1"/>
  <c r="B519" i="5"/>
  <c r="C519" i="5" s="1"/>
  <c r="B518" i="5"/>
  <c r="C518" i="5" s="1"/>
  <c r="B517" i="5"/>
  <c r="C517" i="5" s="1"/>
  <c r="B516" i="5"/>
  <c r="C516" i="5" s="1"/>
  <c r="B515" i="5"/>
  <c r="C515" i="5" s="1"/>
  <c r="B514" i="5"/>
  <c r="C514" i="5" s="1"/>
  <c r="B513" i="5"/>
  <c r="C513" i="5" s="1"/>
  <c r="B512" i="5"/>
  <c r="C512" i="5" s="1"/>
  <c r="B511" i="5"/>
  <c r="C511" i="5" s="1"/>
  <c r="B510" i="5"/>
  <c r="C510" i="5" s="1"/>
  <c r="B509" i="5"/>
  <c r="C509" i="5" s="1"/>
  <c r="B508" i="5"/>
  <c r="C508" i="5" s="1"/>
  <c r="B507" i="5"/>
  <c r="C507" i="5" s="1"/>
  <c r="B506" i="5"/>
  <c r="C506" i="5" s="1"/>
  <c r="B505" i="5"/>
  <c r="C505" i="5" s="1"/>
  <c r="B504" i="5"/>
  <c r="C504" i="5" s="1"/>
  <c r="B503" i="5"/>
  <c r="C503" i="5" s="1"/>
  <c r="B502" i="5"/>
  <c r="C502" i="5" s="1"/>
  <c r="B501" i="5"/>
  <c r="C501" i="5" s="1"/>
  <c r="B500" i="5"/>
  <c r="C500" i="5" s="1"/>
  <c r="B499" i="5"/>
  <c r="C499" i="5" s="1"/>
  <c r="B498" i="5"/>
  <c r="C498" i="5" s="1"/>
  <c r="B497" i="5"/>
  <c r="C497" i="5" s="1"/>
  <c r="B496" i="5"/>
  <c r="C496" i="5" s="1"/>
  <c r="B495" i="5"/>
  <c r="C495" i="5" s="1"/>
  <c r="B494" i="5"/>
  <c r="C494" i="5" s="1"/>
  <c r="B493" i="5"/>
  <c r="C493" i="5" s="1"/>
  <c r="B492" i="5"/>
  <c r="C492" i="5" s="1"/>
  <c r="B491" i="5"/>
  <c r="C491" i="5" s="1"/>
  <c r="B490" i="5"/>
  <c r="C490" i="5" s="1"/>
  <c r="B489" i="5"/>
  <c r="C489" i="5" s="1"/>
  <c r="B488" i="5"/>
  <c r="C488" i="5" s="1"/>
  <c r="B487" i="5"/>
  <c r="C487" i="5" s="1"/>
  <c r="B486" i="5"/>
  <c r="C486" i="5" s="1"/>
  <c r="B485" i="5"/>
  <c r="C485" i="5" s="1"/>
  <c r="B484" i="5"/>
  <c r="C484" i="5" s="1"/>
  <c r="B483" i="5"/>
  <c r="C483" i="5" s="1"/>
  <c r="B482" i="5"/>
  <c r="C482" i="5" s="1"/>
  <c r="B481" i="5"/>
  <c r="C481" i="5" s="1"/>
  <c r="B480" i="5"/>
  <c r="C480" i="5" s="1"/>
  <c r="B479" i="5"/>
  <c r="C479" i="5" s="1"/>
  <c r="B478" i="5"/>
  <c r="C478" i="5" s="1"/>
  <c r="B477" i="5"/>
  <c r="C477" i="5" s="1"/>
  <c r="B476" i="5"/>
  <c r="C476" i="5" s="1"/>
  <c r="B475" i="5"/>
  <c r="C475" i="5" s="1"/>
  <c r="B474" i="5"/>
  <c r="C474" i="5" s="1"/>
  <c r="B473" i="5"/>
  <c r="C473" i="5" s="1"/>
  <c r="B472" i="5"/>
  <c r="C472" i="5" s="1"/>
  <c r="B471" i="5"/>
  <c r="C471" i="5" s="1"/>
  <c r="B470" i="5"/>
  <c r="C470" i="5" s="1"/>
  <c r="B469" i="5"/>
  <c r="C469" i="5" s="1"/>
  <c r="B468" i="5"/>
  <c r="C468" i="5" s="1"/>
  <c r="B467" i="5"/>
  <c r="C467" i="5" s="1"/>
  <c r="B466" i="5"/>
  <c r="C466" i="5" s="1"/>
  <c r="B465" i="5"/>
  <c r="C465" i="5" s="1"/>
  <c r="B464" i="5"/>
  <c r="C464" i="5" s="1"/>
  <c r="B463" i="5"/>
  <c r="C463" i="5" s="1"/>
  <c r="B462" i="5"/>
  <c r="C462" i="5" s="1"/>
  <c r="B461" i="5"/>
  <c r="C461" i="5" s="1"/>
  <c r="B460" i="5"/>
  <c r="C460" i="5" s="1"/>
  <c r="B459" i="5"/>
  <c r="C459" i="5" s="1"/>
  <c r="B458" i="5"/>
  <c r="C458" i="5" s="1"/>
  <c r="B457" i="5"/>
  <c r="C457" i="5" s="1"/>
  <c r="B456" i="5"/>
  <c r="C456" i="5" s="1"/>
  <c r="B455" i="5"/>
  <c r="C455" i="5" s="1"/>
  <c r="B454" i="5"/>
  <c r="C454" i="5" s="1"/>
  <c r="B453" i="5"/>
  <c r="C453" i="5" s="1"/>
  <c r="B452" i="5"/>
  <c r="C452" i="5" s="1"/>
  <c r="B451" i="5"/>
  <c r="C451" i="5" s="1"/>
  <c r="B450" i="5"/>
  <c r="C450" i="5" s="1"/>
  <c r="B449" i="5"/>
  <c r="C449" i="5" s="1"/>
  <c r="B448" i="5"/>
  <c r="C448" i="5" s="1"/>
  <c r="B447" i="5"/>
  <c r="C447" i="5" s="1"/>
  <c r="B446" i="5"/>
  <c r="C446" i="5" s="1"/>
  <c r="B445" i="5"/>
  <c r="C445" i="5" s="1"/>
  <c r="B444" i="5"/>
  <c r="C444" i="5" s="1"/>
  <c r="B443" i="5"/>
  <c r="C443" i="5" s="1"/>
  <c r="B442" i="5"/>
  <c r="C442" i="5" s="1"/>
  <c r="B441" i="5"/>
  <c r="C441" i="5" s="1"/>
  <c r="B440" i="5"/>
  <c r="C440" i="5" s="1"/>
  <c r="B439" i="5"/>
  <c r="C439" i="5" s="1"/>
  <c r="B438" i="5"/>
  <c r="C438" i="5" s="1"/>
  <c r="B437" i="5"/>
  <c r="C437" i="5" s="1"/>
  <c r="B436" i="5"/>
  <c r="C436" i="5" s="1"/>
  <c r="B435" i="5"/>
  <c r="C435" i="5" s="1"/>
  <c r="B434" i="5"/>
  <c r="C434" i="5" s="1"/>
  <c r="B433" i="5"/>
  <c r="C433" i="5" s="1"/>
  <c r="B432" i="5"/>
  <c r="C432" i="5" s="1"/>
  <c r="B431" i="5"/>
  <c r="C431" i="5" s="1"/>
  <c r="B430" i="5"/>
  <c r="C430" i="5" s="1"/>
  <c r="B429" i="5"/>
  <c r="C429" i="5" s="1"/>
  <c r="B428" i="5"/>
  <c r="C428" i="5" s="1"/>
  <c r="B427" i="5"/>
  <c r="C427" i="5" s="1"/>
  <c r="B426" i="5"/>
  <c r="C426" i="5" s="1"/>
  <c r="B425" i="5"/>
  <c r="C425" i="5" s="1"/>
  <c r="B424" i="5"/>
  <c r="C424" i="5" s="1"/>
  <c r="B423" i="5"/>
  <c r="C423" i="5" s="1"/>
  <c r="B422" i="5"/>
  <c r="C422" i="5" s="1"/>
  <c r="B421" i="5"/>
  <c r="C421" i="5" s="1"/>
  <c r="B420" i="5"/>
  <c r="C420" i="5" s="1"/>
  <c r="B419" i="5"/>
  <c r="C419" i="5" s="1"/>
  <c r="B418" i="5"/>
  <c r="C418" i="5" s="1"/>
  <c r="B417" i="5"/>
  <c r="C417" i="5" s="1"/>
  <c r="B416" i="5"/>
  <c r="C416" i="5" s="1"/>
  <c r="B415" i="5"/>
  <c r="C415" i="5" s="1"/>
  <c r="B414" i="5"/>
  <c r="C414" i="5" s="1"/>
  <c r="B413" i="5"/>
  <c r="C413" i="5" s="1"/>
  <c r="B412" i="5"/>
  <c r="C412" i="5" s="1"/>
  <c r="B411" i="5"/>
  <c r="C411" i="5" s="1"/>
  <c r="B410" i="5"/>
  <c r="C410" i="5" s="1"/>
  <c r="B409" i="5"/>
  <c r="C409" i="5" s="1"/>
  <c r="B408" i="5"/>
  <c r="C408" i="5" s="1"/>
  <c r="B407" i="5"/>
  <c r="C407" i="5" s="1"/>
  <c r="B406" i="5"/>
  <c r="C406" i="5" s="1"/>
  <c r="B405" i="5"/>
  <c r="C405" i="5" s="1"/>
  <c r="B404" i="5"/>
  <c r="C404" i="5" s="1"/>
  <c r="B403" i="5"/>
  <c r="C403" i="5" s="1"/>
  <c r="B402" i="5"/>
  <c r="C402" i="5" s="1"/>
  <c r="B401" i="5"/>
  <c r="C401" i="5" s="1"/>
  <c r="B400" i="5"/>
  <c r="C400" i="5" s="1"/>
  <c r="B399" i="5"/>
  <c r="C399" i="5" s="1"/>
  <c r="B398" i="5"/>
  <c r="C398" i="5" s="1"/>
  <c r="B397" i="5"/>
  <c r="C397" i="5" s="1"/>
  <c r="B396" i="5"/>
  <c r="C396" i="5" s="1"/>
  <c r="B395" i="5"/>
  <c r="C395" i="5" s="1"/>
  <c r="B394" i="5"/>
  <c r="C394" i="5" s="1"/>
  <c r="B393" i="5"/>
  <c r="C393" i="5" s="1"/>
  <c r="B392" i="5"/>
  <c r="C392" i="5" s="1"/>
  <c r="B391" i="5"/>
  <c r="C391" i="5" s="1"/>
  <c r="B390" i="5"/>
  <c r="C390" i="5" s="1"/>
  <c r="B389" i="5"/>
  <c r="C389" i="5" s="1"/>
  <c r="B388" i="5"/>
  <c r="C388" i="5" s="1"/>
  <c r="B387" i="5"/>
  <c r="C387" i="5" s="1"/>
  <c r="B386" i="5"/>
  <c r="C386" i="5" s="1"/>
  <c r="B385" i="5"/>
  <c r="C385" i="5" s="1"/>
  <c r="B384" i="5"/>
  <c r="C384" i="5" s="1"/>
  <c r="B383" i="5"/>
  <c r="C383" i="5" s="1"/>
  <c r="B382" i="5"/>
  <c r="C382" i="5" s="1"/>
  <c r="B381" i="5"/>
  <c r="C381" i="5" s="1"/>
  <c r="B380" i="5"/>
  <c r="C380" i="5" s="1"/>
  <c r="B379" i="5"/>
  <c r="C379" i="5" s="1"/>
  <c r="B378" i="5"/>
  <c r="C378" i="5" s="1"/>
  <c r="B377" i="5"/>
  <c r="C377" i="5" s="1"/>
  <c r="B376" i="5"/>
  <c r="C376" i="5" s="1"/>
  <c r="B375" i="5"/>
  <c r="C375" i="5" s="1"/>
  <c r="B374" i="5"/>
  <c r="C374" i="5" s="1"/>
  <c r="B373" i="5"/>
  <c r="C373" i="5" s="1"/>
  <c r="B372" i="5"/>
  <c r="C372" i="5" s="1"/>
  <c r="B371" i="5"/>
  <c r="C371" i="5" s="1"/>
  <c r="B370" i="5"/>
  <c r="C370" i="5" s="1"/>
  <c r="B369" i="5"/>
  <c r="C369" i="5" s="1"/>
  <c r="B368" i="5"/>
  <c r="C368" i="5" s="1"/>
  <c r="B367" i="5"/>
  <c r="C367" i="5" s="1"/>
  <c r="B366" i="5"/>
  <c r="C366" i="5" s="1"/>
  <c r="B365" i="5"/>
  <c r="C365" i="5" s="1"/>
  <c r="B364" i="5"/>
  <c r="C364" i="5" s="1"/>
  <c r="B363" i="5"/>
  <c r="C363" i="5" s="1"/>
  <c r="B362" i="5"/>
  <c r="C362" i="5" s="1"/>
  <c r="B361" i="5"/>
  <c r="C361" i="5" s="1"/>
  <c r="B360" i="5"/>
  <c r="C360" i="5" s="1"/>
  <c r="B359" i="5"/>
  <c r="C359" i="5" s="1"/>
  <c r="B358" i="5"/>
  <c r="C358" i="5" s="1"/>
  <c r="B357" i="5"/>
  <c r="C357" i="5" s="1"/>
  <c r="B356" i="5"/>
  <c r="C356" i="5" s="1"/>
  <c r="B355" i="5"/>
  <c r="C355" i="5" s="1"/>
  <c r="B354" i="5"/>
  <c r="C354" i="5" s="1"/>
  <c r="B353" i="5"/>
  <c r="C353" i="5" s="1"/>
  <c r="B352" i="5"/>
  <c r="C352" i="5" s="1"/>
  <c r="B351" i="5"/>
  <c r="C351" i="5" s="1"/>
  <c r="B350" i="5"/>
  <c r="C350" i="5" s="1"/>
  <c r="B349" i="5"/>
  <c r="C349" i="5" s="1"/>
  <c r="B348" i="5"/>
  <c r="C348" i="5" s="1"/>
  <c r="B347" i="5"/>
  <c r="C347" i="5" s="1"/>
  <c r="B346" i="5"/>
  <c r="C346" i="5" s="1"/>
  <c r="B345" i="5"/>
  <c r="C345" i="5" s="1"/>
  <c r="B344" i="5"/>
  <c r="C344" i="5" s="1"/>
  <c r="B343" i="5"/>
  <c r="C343" i="5" s="1"/>
  <c r="B342" i="5"/>
  <c r="C342" i="5" s="1"/>
  <c r="B341" i="5"/>
  <c r="C341" i="5" s="1"/>
  <c r="B340" i="5"/>
  <c r="C340" i="5" s="1"/>
  <c r="B339" i="5"/>
  <c r="C339" i="5" s="1"/>
  <c r="B338" i="5"/>
  <c r="C338" i="5" s="1"/>
  <c r="B337" i="5"/>
  <c r="C337" i="5" s="1"/>
  <c r="B336" i="5"/>
  <c r="C336" i="5" s="1"/>
  <c r="B335" i="5"/>
  <c r="C335" i="5" s="1"/>
  <c r="B334" i="5"/>
  <c r="C334" i="5" s="1"/>
  <c r="B333" i="5"/>
  <c r="C333" i="5" s="1"/>
  <c r="B332" i="5"/>
  <c r="C332" i="5" s="1"/>
  <c r="B331" i="5"/>
  <c r="C331" i="5" s="1"/>
  <c r="B330" i="5"/>
  <c r="C330" i="5" s="1"/>
  <c r="B329" i="5"/>
  <c r="C329" i="5" s="1"/>
  <c r="B328" i="5"/>
  <c r="C328" i="5" s="1"/>
  <c r="B327" i="5"/>
  <c r="C327" i="5" s="1"/>
  <c r="B326" i="5"/>
  <c r="C326" i="5" s="1"/>
  <c r="B325" i="5"/>
  <c r="C325" i="5" s="1"/>
  <c r="B324" i="5"/>
  <c r="C324" i="5" s="1"/>
  <c r="B323" i="5"/>
  <c r="C323" i="5" s="1"/>
  <c r="B322" i="5"/>
  <c r="C322" i="5" s="1"/>
  <c r="B321" i="5"/>
  <c r="C321" i="5" s="1"/>
  <c r="B320" i="5"/>
  <c r="C320" i="5" s="1"/>
  <c r="B319" i="5"/>
  <c r="C319" i="5" s="1"/>
  <c r="B318" i="5"/>
  <c r="C318" i="5" s="1"/>
  <c r="B317" i="5"/>
  <c r="C317" i="5" s="1"/>
  <c r="B316" i="5"/>
  <c r="C316" i="5" s="1"/>
  <c r="B315" i="5"/>
  <c r="C315" i="5" s="1"/>
  <c r="B314" i="5"/>
  <c r="C314" i="5" s="1"/>
  <c r="B313" i="5"/>
  <c r="C313" i="5" s="1"/>
  <c r="B312" i="5"/>
  <c r="C312" i="5" s="1"/>
  <c r="B311" i="5"/>
  <c r="C311" i="5" s="1"/>
  <c r="B310" i="5"/>
  <c r="C310" i="5" s="1"/>
  <c r="B309" i="5"/>
  <c r="C309" i="5" s="1"/>
  <c r="B308" i="5"/>
  <c r="C308" i="5" s="1"/>
  <c r="B307" i="5"/>
  <c r="C307" i="5" s="1"/>
  <c r="B306" i="5"/>
  <c r="C306" i="5" s="1"/>
  <c r="B305" i="5"/>
  <c r="C305" i="5" s="1"/>
  <c r="B304" i="5"/>
  <c r="C304" i="5" s="1"/>
  <c r="B303" i="5"/>
  <c r="C303" i="5" s="1"/>
  <c r="B302" i="5"/>
  <c r="C302" i="5" s="1"/>
  <c r="B301" i="5"/>
  <c r="C301" i="5" s="1"/>
  <c r="B300" i="5"/>
  <c r="C300" i="5" s="1"/>
  <c r="B299" i="5"/>
  <c r="C299" i="5" s="1"/>
  <c r="B298" i="5"/>
  <c r="C298" i="5" s="1"/>
  <c r="B297" i="5"/>
  <c r="C297" i="5" s="1"/>
  <c r="B296" i="5"/>
  <c r="C296" i="5" s="1"/>
  <c r="B295" i="5"/>
  <c r="C295" i="5" s="1"/>
  <c r="B294" i="5"/>
  <c r="C294" i="5" s="1"/>
  <c r="B293" i="5"/>
  <c r="C293" i="5" s="1"/>
  <c r="B292" i="5"/>
  <c r="C292" i="5" s="1"/>
  <c r="B291" i="5"/>
  <c r="C291" i="5" s="1"/>
  <c r="B290" i="5"/>
  <c r="C290" i="5" s="1"/>
  <c r="B289" i="5"/>
  <c r="C289" i="5" s="1"/>
  <c r="B288" i="5"/>
  <c r="C288" i="5" s="1"/>
  <c r="B287" i="5"/>
  <c r="C287" i="5" s="1"/>
  <c r="B286" i="5"/>
  <c r="C286" i="5" s="1"/>
  <c r="B285" i="5"/>
  <c r="C285" i="5" s="1"/>
  <c r="B284" i="5"/>
  <c r="C284" i="5" s="1"/>
  <c r="B283" i="5"/>
  <c r="C283" i="5" s="1"/>
  <c r="B282" i="5"/>
  <c r="C282" i="5" s="1"/>
  <c r="B281" i="5"/>
  <c r="C281" i="5" s="1"/>
  <c r="B280" i="5"/>
  <c r="C280" i="5" s="1"/>
  <c r="B279" i="5"/>
  <c r="C279" i="5" s="1"/>
  <c r="B278" i="5"/>
  <c r="C278" i="5" s="1"/>
  <c r="B277" i="5"/>
  <c r="C277" i="5" s="1"/>
  <c r="B276" i="5"/>
  <c r="C276" i="5" s="1"/>
  <c r="B275" i="5"/>
  <c r="C275" i="5" s="1"/>
  <c r="B274" i="5"/>
  <c r="C274" i="5" s="1"/>
  <c r="B273" i="5"/>
  <c r="C273" i="5" s="1"/>
  <c r="B272" i="5"/>
  <c r="C272" i="5" s="1"/>
  <c r="B271" i="5"/>
  <c r="C271" i="5" s="1"/>
  <c r="B270" i="5"/>
  <c r="C270" i="5" s="1"/>
  <c r="B269" i="5"/>
  <c r="C269" i="5" s="1"/>
  <c r="B268" i="5"/>
  <c r="C268" i="5" s="1"/>
  <c r="B267" i="5"/>
  <c r="C267" i="5" s="1"/>
  <c r="B266" i="5"/>
  <c r="C266" i="5" s="1"/>
  <c r="B265" i="5"/>
  <c r="C265" i="5" s="1"/>
  <c r="B264" i="5"/>
  <c r="C264" i="5" s="1"/>
  <c r="B263" i="5"/>
  <c r="C263" i="5" s="1"/>
  <c r="B262" i="5"/>
  <c r="C262" i="5" s="1"/>
  <c r="B261" i="5"/>
  <c r="C261" i="5" s="1"/>
  <c r="B260" i="5"/>
  <c r="C260" i="5" s="1"/>
  <c r="B259" i="5"/>
  <c r="C259" i="5" s="1"/>
  <c r="B258" i="5"/>
  <c r="C258" i="5" s="1"/>
  <c r="B257" i="5"/>
  <c r="C257" i="5" s="1"/>
  <c r="B256" i="5"/>
  <c r="C256" i="5" s="1"/>
  <c r="B255" i="5"/>
  <c r="C255" i="5" s="1"/>
  <c r="B254" i="5"/>
  <c r="C254" i="5" s="1"/>
  <c r="B253" i="5"/>
  <c r="C253" i="5" s="1"/>
  <c r="B252" i="5"/>
  <c r="C252" i="5" s="1"/>
  <c r="B251" i="5"/>
  <c r="C251" i="5" s="1"/>
  <c r="B250" i="5"/>
  <c r="C250" i="5" s="1"/>
  <c r="B249" i="5"/>
  <c r="C249" i="5" s="1"/>
  <c r="B248" i="5"/>
  <c r="C248" i="5" s="1"/>
  <c r="B247" i="5"/>
  <c r="C247" i="5" s="1"/>
  <c r="B246" i="5"/>
  <c r="C246" i="5" s="1"/>
  <c r="B245" i="5"/>
  <c r="C245" i="5" s="1"/>
  <c r="B244" i="5"/>
  <c r="C244" i="5" s="1"/>
  <c r="B243" i="5"/>
  <c r="C243" i="5" s="1"/>
  <c r="B242" i="5"/>
  <c r="C242" i="5" s="1"/>
  <c r="B241" i="5"/>
  <c r="C241" i="5" s="1"/>
  <c r="B240" i="5"/>
  <c r="C240" i="5" s="1"/>
  <c r="B239" i="5"/>
  <c r="C239" i="5" s="1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B232" i="5"/>
  <c r="C232" i="5" s="1"/>
  <c r="B231" i="5"/>
  <c r="C231" i="5" s="1"/>
  <c r="B230" i="5"/>
  <c r="C230" i="5" s="1"/>
  <c r="B229" i="5"/>
  <c r="C229" i="5" s="1"/>
  <c r="B228" i="5"/>
  <c r="C228" i="5" s="1"/>
  <c r="B227" i="5"/>
  <c r="C227" i="5" s="1"/>
  <c r="B226" i="5"/>
  <c r="C226" i="5" s="1"/>
  <c r="B225" i="5"/>
  <c r="C225" i="5" s="1"/>
  <c r="B224" i="5"/>
  <c r="C224" i="5" s="1"/>
  <c r="B223" i="5"/>
  <c r="C223" i="5" s="1"/>
  <c r="B222" i="5"/>
  <c r="C222" i="5" s="1"/>
  <c r="B221" i="5"/>
  <c r="C221" i="5" s="1"/>
  <c r="B220" i="5"/>
  <c r="C220" i="5" s="1"/>
  <c r="B219" i="5"/>
  <c r="C219" i="5" s="1"/>
  <c r="B218" i="5"/>
  <c r="C218" i="5" s="1"/>
  <c r="B217" i="5"/>
  <c r="C217" i="5" s="1"/>
  <c r="B216" i="5"/>
  <c r="C216" i="5" s="1"/>
  <c r="B215" i="5"/>
  <c r="C215" i="5" s="1"/>
  <c r="B214" i="5"/>
  <c r="C214" i="5" s="1"/>
  <c r="B213" i="5"/>
  <c r="C213" i="5" s="1"/>
  <c r="B212" i="5"/>
  <c r="C212" i="5" s="1"/>
  <c r="B211" i="5"/>
  <c r="C211" i="5" s="1"/>
  <c r="B210" i="5"/>
  <c r="C210" i="5" s="1"/>
  <c r="B209" i="5"/>
  <c r="C209" i="5" s="1"/>
  <c r="B208" i="5"/>
  <c r="C208" i="5" s="1"/>
  <c r="B207" i="5"/>
  <c r="C207" i="5" s="1"/>
  <c r="B206" i="5"/>
  <c r="C206" i="5" s="1"/>
  <c r="B205" i="5"/>
  <c r="C205" i="5" s="1"/>
  <c r="B204" i="5"/>
  <c r="C204" i="5" s="1"/>
  <c r="B203" i="5"/>
  <c r="C203" i="5" s="1"/>
  <c r="B202" i="5"/>
  <c r="C202" i="5" s="1"/>
  <c r="B201" i="5"/>
  <c r="C201" i="5" s="1"/>
  <c r="B200" i="5"/>
  <c r="C200" i="5" s="1"/>
  <c r="B199" i="5"/>
  <c r="C199" i="5" s="1"/>
  <c r="B198" i="5"/>
  <c r="C198" i="5" s="1"/>
  <c r="B197" i="5"/>
  <c r="C197" i="5" s="1"/>
  <c r="B196" i="5"/>
  <c r="C196" i="5" s="1"/>
  <c r="B195" i="5"/>
  <c r="C195" i="5" s="1"/>
  <c r="B194" i="5"/>
  <c r="C194" i="5" s="1"/>
  <c r="B193" i="5"/>
  <c r="C193" i="5" s="1"/>
  <c r="B192" i="5"/>
  <c r="C192" i="5" s="1"/>
  <c r="B191" i="5"/>
  <c r="C191" i="5" s="1"/>
  <c r="B190" i="5"/>
  <c r="C190" i="5" s="1"/>
  <c r="B189" i="5"/>
  <c r="C189" i="5" s="1"/>
  <c r="B188" i="5"/>
  <c r="C188" i="5" s="1"/>
  <c r="B187" i="5"/>
  <c r="C187" i="5" s="1"/>
  <c r="B186" i="5"/>
  <c r="C186" i="5" s="1"/>
  <c r="B185" i="5"/>
  <c r="C185" i="5" s="1"/>
  <c r="B184" i="5"/>
  <c r="C184" i="5" s="1"/>
  <c r="B183" i="5"/>
  <c r="C183" i="5" s="1"/>
  <c r="B182" i="5"/>
  <c r="C182" i="5" s="1"/>
  <c r="B181" i="5"/>
  <c r="C181" i="5" s="1"/>
  <c r="B180" i="5"/>
  <c r="C180" i="5" s="1"/>
  <c r="B179" i="5"/>
  <c r="C179" i="5" s="1"/>
  <c r="B178" i="5"/>
  <c r="C178" i="5" s="1"/>
  <c r="B177" i="5"/>
  <c r="C177" i="5" s="1"/>
  <c r="B176" i="5"/>
  <c r="C176" i="5" s="1"/>
  <c r="B175" i="5"/>
  <c r="C175" i="5" s="1"/>
  <c r="B174" i="5"/>
  <c r="C174" i="5" s="1"/>
  <c r="B173" i="5"/>
  <c r="C173" i="5" s="1"/>
  <c r="B172" i="5"/>
  <c r="C172" i="5" s="1"/>
  <c r="B171" i="5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C155" i="5" s="1"/>
  <c r="B154" i="5"/>
  <c r="C154" i="5" s="1"/>
  <c r="B153" i="5"/>
  <c r="C153" i="5" s="1"/>
  <c r="B152" i="5"/>
  <c r="C152" i="5" s="1"/>
  <c r="B151" i="5"/>
  <c r="C151" i="5" s="1"/>
  <c r="B150" i="5"/>
  <c r="C150" i="5" s="1"/>
  <c r="B149" i="5"/>
  <c r="C149" i="5" s="1"/>
  <c r="B148" i="5"/>
  <c r="C148" i="5" s="1"/>
  <c r="B147" i="5"/>
  <c r="C147" i="5" s="1"/>
  <c r="B146" i="5"/>
  <c r="C146" i="5" s="1"/>
  <c r="B145" i="5"/>
  <c r="C145" i="5" s="1"/>
  <c r="B144" i="5"/>
  <c r="C144" i="5" s="1"/>
  <c r="B143" i="5"/>
  <c r="C143" i="5" s="1"/>
  <c r="B142" i="5"/>
  <c r="C142" i="5" s="1"/>
  <c r="B141" i="5"/>
  <c r="C141" i="5" s="1"/>
  <c r="B140" i="5"/>
  <c r="C140" i="5" s="1"/>
  <c r="B139" i="5"/>
  <c r="C139" i="5" s="1"/>
  <c r="B138" i="5"/>
  <c r="C138" i="5" s="1"/>
  <c r="B137" i="5"/>
  <c r="C137" i="5" s="1"/>
  <c r="B136" i="5"/>
  <c r="C136" i="5" s="1"/>
  <c r="B135" i="5"/>
  <c r="C135" i="5" s="1"/>
  <c r="B134" i="5"/>
  <c r="C134" i="5" s="1"/>
  <c r="B133" i="5"/>
  <c r="C133" i="5" s="1"/>
  <c r="B132" i="5"/>
  <c r="C132" i="5" s="1"/>
  <c r="B131" i="5"/>
  <c r="C131" i="5" s="1"/>
  <c r="B130" i="5"/>
  <c r="C130" i="5" s="1"/>
  <c r="B129" i="5"/>
  <c r="C129" i="5" s="1"/>
  <c r="B128" i="5"/>
  <c r="C128" i="5" s="1"/>
  <c r="B127" i="5"/>
  <c r="C127" i="5" s="1"/>
  <c r="B126" i="5"/>
  <c r="C126" i="5" s="1"/>
  <c r="B125" i="5"/>
  <c r="C125" i="5" s="1"/>
  <c r="B124" i="5"/>
  <c r="C124" i="5" s="1"/>
  <c r="B123" i="5"/>
  <c r="C123" i="5" s="1"/>
  <c r="B122" i="5"/>
  <c r="C122" i="5" s="1"/>
  <c r="B121" i="5"/>
  <c r="C121" i="5" s="1"/>
  <c r="B120" i="5"/>
  <c r="C120" i="5" s="1"/>
  <c r="B119" i="5"/>
  <c r="C119" i="5" s="1"/>
  <c r="B118" i="5"/>
  <c r="C118" i="5" s="1"/>
  <c r="B117" i="5"/>
  <c r="C117" i="5" s="1"/>
  <c r="B116" i="5"/>
  <c r="C116" i="5" s="1"/>
  <c r="B115" i="5"/>
  <c r="C115" i="5" s="1"/>
  <c r="B114" i="5"/>
  <c r="C114" i="5" s="1"/>
  <c r="B113" i="5"/>
  <c r="C113" i="5" s="1"/>
  <c r="B112" i="5"/>
  <c r="C112" i="5" s="1"/>
  <c r="B111" i="5"/>
  <c r="C111" i="5" s="1"/>
  <c r="B110" i="5"/>
  <c r="C110" i="5" s="1"/>
  <c r="B109" i="5"/>
  <c r="C109" i="5" s="1"/>
  <c r="B108" i="5"/>
  <c r="C108" i="5" s="1"/>
  <c r="B107" i="5"/>
  <c r="C107" i="5" s="1"/>
  <c r="B106" i="5"/>
  <c r="C106" i="5" s="1"/>
  <c r="B105" i="5"/>
  <c r="C105" i="5" s="1"/>
  <c r="B104" i="5"/>
  <c r="C104" i="5" s="1"/>
  <c r="B103" i="5"/>
  <c r="C103" i="5" s="1"/>
  <c r="B102" i="5"/>
  <c r="C102" i="5" s="1"/>
  <c r="B101" i="5"/>
  <c r="C101" i="5" s="1"/>
  <c r="B100" i="5"/>
  <c r="C100" i="5" s="1"/>
  <c r="B99" i="5"/>
  <c r="C99" i="5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C91" i="5" s="1"/>
  <c r="B90" i="5"/>
  <c r="C90" i="5" s="1"/>
  <c r="B89" i="5"/>
  <c r="C89" i="5" s="1"/>
  <c r="B88" i="5"/>
  <c r="C88" i="5" s="1"/>
  <c r="B87" i="5"/>
  <c r="C87" i="5" s="1"/>
  <c r="B86" i="5"/>
  <c r="C86" i="5" s="1"/>
  <c r="B85" i="5"/>
  <c r="C85" i="5" s="1"/>
  <c r="B84" i="5"/>
  <c r="C84" i="5" s="1"/>
  <c r="B83" i="5"/>
  <c r="C83" i="5" s="1"/>
  <c r="B82" i="5"/>
  <c r="C82" i="5" s="1"/>
  <c r="B81" i="5"/>
  <c r="C81" i="5" s="1"/>
  <c r="B80" i="5"/>
  <c r="C80" i="5" s="1"/>
  <c r="B79" i="5"/>
  <c r="C79" i="5" s="1"/>
  <c r="B78" i="5"/>
  <c r="C78" i="5" s="1"/>
  <c r="B77" i="5"/>
  <c r="C77" i="5" s="1"/>
  <c r="B76" i="5"/>
  <c r="C76" i="5" s="1"/>
  <c r="B75" i="5"/>
  <c r="C75" i="5" s="1"/>
  <c r="B74" i="5"/>
  <c r="C74" i="5" s="1"/>
  <c r="B73" i="5"/>
  <c r="C73" i="5" s="1"/>
  <c r="B72" i="5"/>
  <c r="C72" i="5" s="1"/>
  <c r="B71" i="5"/>
  <c r="C71" i="5" s="1"/>
  <c r="B70" i="5"/>
  <c r="C70" i="5" s="1"/>
  <c r="B69" i="5"/>
  <c r="C69" i="5" s="1"/>
  <c r="B68" i="5"/>
  <c r="C68" i="5" s="1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 s="1"/>
  <c r="B60" i="5"/>
  <c r="C60" i="5" s="1"/>
  <c r="B59" i="5"/>
  <c r="C59" i="5" s="1"/>
  <c r="B58" i="5"/>
  <c r="C58" i="5" s="1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 s="1"/>
  <c r="B51" i="5"/>
  <c r="C51" i="5" s="1"/>
  <c r="B50" i="5"/>
  <c r="C50" i="5" s="1"/>
  <c r="B49" i="5"/>
  <c r="C49" i="5" s="1"/>
  <c r="B48" i="5"/>
  <c r="C48" i="5" s="1"/>
  <c r="B47" i="5"/>
  <c r="C47" i="5" s="1"/>
  <c r="B46" i="5"/>
  <c r="C46" i="5" s="1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9" i="5"/>
  <c r="C39" i="5" s="1"/>
  <c r="B38" i="5"/>
  <c r="C38" i="5" s="1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 s="1"/>
  <c r="B31" i="5"/>
  <c r="C31" i="5" s="1"/>
  <c r="B30" i="5"/>
  <c r="C30" i="5" s="1"/>
  <c r="B29" i="5"/>
  <c r="C29" i="5" s="1"/>
  <c r="B28" i="5"/>
  <c r="C28" i="5" s="1"/>
  <c r="B27" i="5"/>
  <c r="C27" i="5" s="1"/>
  <c r="B26" i="5"/>
  <c r="C26" i="5" s="1"/>
  <c r="B25" i="5"/>
  <c r="C25" i="5" s="1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 s="1"/>
  <c r="B15" i="5"/>
  <c r="C15" i="5" s="1"/>
  <c r="B14" i="5"/>
  <c r="C14" i="5" s="1"/>
  <c r="B13" i="5"/>
  <c r="C13" i="5" s="1"/>
  <c r="B12" i="5"/>
  <c r="C12" i="5" s="1"/>
  <c r="B11" i="5"/>
  <c r="C11" i="5" s="1"/>
  <c r="B10" i="5"/>
  <c r="C10" i="5" l="1"/>
  <c r="J338" i="8"/>
  <c r="J19" i="8"/>
  <c r="J22" i="8"/>
  <c r="J29" i="8"/>
  <c r="J34" i="8"/>
  <c r="J38" i="8"/>
  <c r="J44" i="8"/>
  <c r="J48" i="8"/>
  <c r="J52" i="8"/>
  <c r="J56" i="8"/>
  <c r="J60" i="8"/>
  <c r="J64" i="8"/>
  <c r="J68" i="8"/>
  <c r="J72" i="8"/>
  <c r="J76" i="8"/>
  <c r="J80" i="8"/>
  <c r="J84" i="8"/>
  <c r="J88" i="8"/>
  <c r="J92" i="8"/>
  <c r="J96" i="8"/>
  <c r="J100" i="8"/>
  <c r="J104" i="8"/>
  <c r="J114" i="8"/>
  <c r="J117" i="8"/>
  <c r="J121" i="8"/>
  <c r="J125" i="8"/>
  <c r="J129" i="8"/>
  <c r="J133" i="8"/>
  <c r="J139" i="8"/>
  <c r="J143" i="8"/>
  <c r="J147" i="8"/>
  <c r="J150" i="8"/>
  <c r="J154" i="8"/>
  <c r="J158" i="8"/>
  <c r="J161" i="8"/>
  <c r="J165" i="8"/>
  <c r="J169" i="8"/>
  <c r="J173" i="8"/>
  <c r="J177" i="8"/>
  <c r="J181" i="8"/>
  <c r="J184" i="8"/>
  <c r="J188" i="8"/>
  <c r="J191" i="8"/>
  <c r="J198" i="8"/>
  <c r="J202" i="8"/>
  <c r="J206" i="8"/>
  <c r="J210" i="8"/>
  <c r="J216" i="8"/>
  <c r="J219" i="8"/>
  <c r="J223" i="8"/>
  <c r="J227" i="8"/>
  <c r="J231" i="8"/>
  <c r="J235" i="8"/>
  <c r="J239" i="8"/>
  <c r="J243" i="8"/>
  <c r="J247" i="8"/>
  <c r="J250" i="8"/>
  <c r="J253" i="8"/>
  <c r="J257" i="8"/>
  <c r="J261" i="8"/>
  <c r="J263" i="8"/>
  <c r="J266" i="8"/>
  <c r="J270" i="8"/>
  <c r="J276" i="8"/>
  <c r="J283" i="8"/>
  <c r="J287" i="8"/>
  <c r="J291" i="8"/>
  <c r="J295" i="8"/>
  <c r="J299" i="8"/>
  <c r="J303" i="8"/>
  <c r="J306" i="8"/>
  <c r="J8" i="8"/>
  <c r="J11" i="8"/>
  <c r="J14" i="8"/>
  <c r="J17" i="8"/>
  <c r="J20" i="8"/>
  <c r="J23" i="8"/>
  <c r="J26" i="8"/>
  <c r="J31" i="8"/>
  <c r="J35" i="8"/>
  <c r="J39" i="8"/>
  <c r="J41" i="8"/>
  <c r="J45" i="8"/>
  <c r="J47" i="8"/>
  <c r="J49" i="8"/>
  <c r="J53" i="8"/>
  <c r="J57" i="8"/>
  <c r="J61" i="8"/>
  <c r="J65" i="8"/>
  <c r="J69" i="8"/>
  <c r="J73" i="8"/>
  <c r="J77" i="8"/>
  <c r="J81" i="8"/>
  <c r="J85" i="8"/>
  <c r="J89" i="8"/>
  <c r="J93" i="8"/>
  <c r="J97" i="8"/>
  <c r="J101" i="8"/>
  <c r="J105" i="8"/>
  <c r="J108" i="8"/>
  <c r="J111" i="8"/>
  <c r="J115" i="8"/>
  <c r="J118" i="8"/>
  <c r="J122" i="8"/>
  <c r="J126" i="8"/>
  <c r="J130" i="8"/>
  <c r="J134" i="8"/>
  <c r="J136" i="8"/>
  <c r="J140" i="8"/>
  <c r="J144" i="8"/>
  <c r="J148" i="8"/>
  <c r="J151" i="8"/>
  <c r="J155" i="8"/>
  <c r="J159" i="8"/>
  <c r="J162" i="8"/>
  <c r="J166" i="8"/>
  <c r="J170" i="8"/>
  <c r="J174" i="8"/>
  <c r="J178" i="8"/>
  <c r="J182" i="8"/>
  <c r="J185" i="8"/>
  <c r="J192" i="8"/>
  <c r="J195" i="8"/>
  <c r="J199" i="8"/>
  <c r="J203" i="8"/>
  <c r="J207" i="8"/>
  <c r="J213" i="8"/>
  <c r="J220" i="8"/>
  <c r="J224" i="8"/>
  <c r="J228" i="8"/>
  <c r="J232" i="8"/>
  <c r="J236" i="8"/>
  <c r="J240" i="8"/>
  <c r="J244" i="8"/>
  <c r="J251" i="8"/>
  <c r="J254" i="8"/>
  <c r="J258" i="8"/>
  <c r="J267" i="8"/>
  <c r="J273" i="8"/>
  <c r="J277" i="8"/>
  <c r="J280" i="8"/>
  <c r="J284" i="8"/>
  <c r="J288" i="8"/>
  <c r="J292" i="8"/>
  <c r="J296" i="8"/>
  <c r="J300" i="8"/>
  <c r="J304" i="8"/>
  <c r="J307" i="8"/>
  <c r="J9" i="8"/>
  <c r="J15" i="8"/>
  <c r="J21" i="8"/>
  <c r="J27" i="8"/>
  <c r="J32" i="8"/>
  <c r="J40" i="8"/>
  <c r="J50" i="8"/>
  <c r="J58" i="8"/>
  <c r="J66" i="8"/>
  <c r="J74" i="8"/>
  <c r="J82" i="8"/>
  <c r="J90" i="8"/>
  <c r="J98" i="8"/>
  <c r="J106" i="8"/>
  <c r="J112" i="8"/>
  <c r="J119" i="8"/>
  <c r="J127" i="8"/>
  <c r="J135" i="8"/>
  <c r="J141" i="8"/>
  <c r="J149" i="8"/>
  <c r="J156" i="8"/>
  <c r="J163" i="8"/>
  <c r="J171" i="8"/>
  <c r="J179" i="8"/>
  <c r="J186" i="8"/>
  <c r="J193" i="8"/>
  <c r="J200" i="8"/>
  <c r="J208" i="8"/>
  <c r="J214" i="8"/>
  <c r="J221" i="8"/>
  <c r="J229" i="8"/>
  <c r="J237" i="8"/>
  <c r="J245" i="8"/>
  <c r="J252" i="8"/>
  <c r="J259" i="8"/>
  <c r="J264" i="8"/>
  <c r="J271" i="8"/>
  <c r="J278" i="8"/>
  <c r="J285" i="8"/>
  <c r="J293" i="8"/>
  <c r="J301" i="8"/>
  <c r="J308" i="8"/>
  <c r="J312" i="8"/>
  <c r="J316" i="8"/>
  <c r="J321" i="8"/>
  <c r="J324" i="8"/>
  <c r="J326" i="8"/>
  <c r="J331" i="8"/>
  <c r="J334" i="8"/>
  <c r="J336" i="8"/>
  <c r="J342" i="8"/>
  <c r="J346" i="8"/>
  <c r="J347" i="8"/>
  <c r="J349" i="8"/>
  <c r="J354" i="8"/>
  <c r="J359" i="8"/>
  <c r="J361" i="8"/>
  <c r="J364" i="8"/>
  <c r="I10" i="8"/>
  <c r="I13" i="8"/>
  <c r="I16" i="8"/>
  <c r="I18" i="8"/>
  <c r="I25" i="8"/>
  <c r="I28" i="8"/>
  <c r="I30" i="8"/>
  <c r="I33" i="8"/>
  <c r="I37" i="8"/>
  <c r="I43" i="8"/>
  <c r="I46" i="8"/>
  <c r="I51" i="8"/>
  <c r="I55" i="8"/>
  <c r="I59" i="8"/>
  <c r="I63" i="8"/>
  <c r="I67" i="8"/>
  <c r="J10" i="8"/>
  <c r="J16" i="8"/>
  <c r="J28" i="8"/>
  <c r="J33" i="8"/>
  <c r="J46" i="8"/>
  <c r="J51" i="8"/>
  <c r="J59" i="8"/>
  <c r="J67" i="8"/>
  <c r="J75" i="8"/>
  <c r="J83" i="8"/>
  <c r="J91" i="8"/>
  <c r="J99" i="8"/>
  <c r="J107" i="8"/>
  <c r="J113" i="8"/>
  <c r="J120" i="8"/>
  <c r="J128" i="8"/>
  <c r="J142" i="8"/>
  <c r="J157" i="8"/>
  <c r="J164" i="8"/>
  <c r="J172" i="8"/>
  <c r="J180" i="8"/>
  <c r="J187" i="8"/>
  <c r="J194" i="8"/>
  <c r="J201" i="8"/>
  <c r="J209" i="8"/>
  <c r="J215" i="8"/>
  <c r="J222" i="8"/>
  <c r="J230" i="8"/>
  <c r="J238" i="8"/>
  <c r="J246" i="8"/>
  <c r="J260" i="8"/>
  <c r="J265" i="8"/>
  <c r="J272" i="8"/>
  <c r="J279" i="8"/>
  <c r="J286" i="8"/>
  <c r="J294" i="8"/>
  <c r="J302" i="8"/>
  <c r="J309" i="8"/>
  <c r="J313" i="8"/>
  <c r="J317" i="8"/>
  <c r="J319" i="8"/>
  <c r="J322" i="8"/>
  <c r="J337" i="8"/>
  <c r="J339" i="8"/>
  <c r="J343" i="8"/>
  <c r="J350" i="8"/>
  <c r="J356" i="8"/>
  <c r="I19" i="8"/>
  <c r="I22" i="8"/>
  <c r="I29" i="8"/>
  <c r="I34" i="8"/>
  <c r="I38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14" i="8"/>
  <c r="I117" i="8"/>
  <c r="I121" i="8"/>
  <c r="I125" i="8"/>
  <c r="I129" i="8"/>
  <c r="I133" i="8"/>
  <c r="I139" i="8"/>
  <c r="I143" i="8"/>
  <c r="I147" i="8"/>
  <c r="J12" i="8"/>
  <c r="J24" i="8"/>
  <c r="J36" i="8"/>
  <c r="J42" i="8"/>
  <c r="J54" i="8"/>
  <c r="J62" i="8"/>
  <c r="J70" i="8"/>
  <c r="J78" i="8"/>
  <c r="J86" i="8"/>
  <c r="J94" i="8"/>
  <c r="J102" i="8"/>
  <c r="J109" i="8"/>
  <c r="J116" i="8"/>
  <c r="J123" i="8"/>
  <c r="J131" i="8"/>
  <c r="J137" i="8"/>
  <c r="J145" i="8"/>
  <c r="J152" i="8"/>
  <c r="J160" i="8"/>
  <c r="J167" i="8"/>
  <c r="J175" i="8"/>
  <c r="J189" i="8"/>
  <c r="J196" i="8"/>
  <c r="J204" i="8"/>
  <c r="J211" i="8"/>
  <c r="J217" i="8"/>
  <c r="J225" i="8"/>
  <c r="J233" i="8"/>
  <c r="J241" i="8"/>
  <c r="J248" i="8"/>
  <c r="J255" i="8"/>
  <c r="J268" i="8"/>
  <c r="J274" i="8"/>
  <c r="J281" i="8"/>
  <c r="J289" i="8"/>
  <c r="J297" i="8"/>
  <c r="J13" i="8"/>
  <c r="J37" i="8"/>
  <c r="J63" i="8"/>
  <c r="J95" i="8"/>
  <c r="J124" i="8"/>
  <c r="J153" i="8"/>
  <c r="J183" i="8"/>
  <c r="J212" i="8"/>
  <c r="J242" i="8"/>
  <c r="J269" i="8"/>
  <c r="J298" i="8"/>
  <c r="J311" i="8"/>
  <c r="J328" i="8"/>
  <c r="J333" i="8"/>
  <c r="J345" i="8"/>
  <c r="J358" i="8"/>
  <c r="J363" i="8"/>
  <c r="J365" i="8"/>
  <c r="I12" i="8"/>
  <c r="I24" i="8"/>
  <c r="I36" i="8"/>
  <c r="I42" i="8"/>
  <c r="I54" i="8"/>
  <c r="I62" i="8"/>
  <c r="I70" i="8"/>
  <c r="I75" i="8"/>
  <c r="I81" i="8"/>
  <c r="I86" i="8"/>
  <c r="I91" i="8"/>
  <c r="I97" i="8"/>
  <c r="I102" i="8"/>
  <c r="I107" i="8"/>
  <c r="I111" i="8"/>
  <c r="I120" i="8"/>
  <c r="I126" i="8"/>
  <c r="I131" i="8"/>
  <c r="I140" i="8"/>
  <c r="I145" i="8"/>
  <c r="I153" i="8"/>
  <c r="I157" i="8"/>
  <c r="I164" i="8"/>
  <c r="I168" i="8"/>
  <c r="I172" i="8"/>
  <c r="I176" i="8"/>
  <c r="I180" i="8"/>
  <c r="J18" i="8"/>
  <c r="J43" i="8"/>
  <c r="J71" i="8"/>
  <c r="J103" i="8"/>
  <c r="J132" i="8"/>
  <c r="J190" i="8"/>
  <c r="J218" i="8"/>
  <c r="J249" i="8"/>
  <c r="J275" i="8"/>
  <c r="J314" i="8"/>
  <c r="J320" i="8"/>
  <c r="J329" i="8"/>
  <c r="J340" i="8"/>
  <c r="J351" i="8"/>
  <c r="J355" i="8"/>
  <c r="J360" i="8"/>
  <c r="J7" i="8"/>
  <c r="I14" i="8"/>
  <c r="I20" i="8"/>
  <c r="I26" i="8"/>
  <c r="I31" i="8"/>
  <c r="I39" i="8"/>
  <c r="I45" i="8"/>
  <c r="I49" i="8"/>
  <c r="I57" i="8"/>
  <c r="I65" i="8"/>
  <c r="I71" i="8"/>
  <c r="I77" i="8"/>
  <c r="I82" i="8"/>
  <c r="I87" i="8"/>
  <c r="I93" i="8"/>
  <c r="I98" i="8"/>
  <c r="I103" i="8"/>
  <c r="I108" i="8"/>
  <c r="I112" i="8"/>
  <c r="I122" i="8"/>
  <c r="I127" i="8"/>
  <c r="I132" i="8"/>
  <c r="I136" i="8"/>
  <c r="I141" i="8"/>
  <c r="I146" i="8"/>
  <c r="I150" i="8"/>
  <c r="I154" i="8"/>
  <c r="I158" i="8"/>
  <c r="I161" i="8"/>
  <c r="I165" i="8"/>
  <c r="I169" i="8"/>
  <c r="I173" i="8"/>
  <c r="I177" i="8"/>
  <c r="I181" i="8"/>
  <c r="I184" i="8"/>
  <c r="I188" i="8"/>
  <c r="I191" i="8"/>
  <c r="I198" i="8"/>
  <c r="I202" i="8"/>
  <c r="I206" i="8"/>
  <c r="I210" i="8"/>
  <c r="I216" i="8"/>
  <c r="I219" i="8"/>
  <c r="I223" i="8"/>
  <c r="I227" i="8"/>
  <c r="I231" i="8"/>
  <c r="I235" i="8"/>
  <c r="I239" i="8"/>
  <c r="I243" i="8"/>
  <c r="I247" i="8"/>
  <c r="I250" i="8"/>
  <c r="I253" i="8"/>
  <c r="I257" i="8"/>
  <c r="I261" i="8"/>
  <c r="I263" i="8"/>
  <c r="I266" i="8"/>
  <c r="I270" i="8"/>
  <c r="I276" i="8"/>
  <c r="I283" i="8"/>
  <c r="J25" i="8"/>
  <c r="J79" i="8"/>
  <c r="J110" i="8"/>
  <c r="J138" i="8"/>
  <c r="J168" i="8"/>
  <c r="J197" i="8"/>
  <c r="J226" i="8"/>
  <c r="J256" i="8"/>
  <c r="J282" i="8"/>
  <c r="J305" i="8"/>
  <c r="J315" i="8"/>
  <c r="J325" i="8"/>
  <c r="J330" i="8"/>
  <c r="J335" i="8"/>
  <c r="J341" i="8"/>
  <c r="J352" i="8"/>
  <c r="I9" i="8"/>
  <c r="I15" i="8"/>
  <c r="I21" i="8"/>
  <c r="I27" i="8"/>
  <c r="I32" i="8"/>
  <c r="I40" i="8"/>
  <c r="I50" i="8"/>
  <c r="I58" i="8"/>
  <c r="I66" i="8"/>
  <c r="I73" i="8"/>
  <c r="I78" i="8"/>
  <c r="I83" i="8"/>
  <c r="I89" i="8"/>
  <c r="I94" i="8"/>
  <c r="I99" i="8"/>
  <c r="I105" i="8"/>
  <c r="I109" i="8"/>
  <c r="I113" i="8"/>
  <c r="I118" i="8"/>
  <c r="I123" i="8"/>
  <c r="I128" i="8"/>
  <c r="I134" i="8"/>
  <c r="I137" i="8"/>
  <c r="I142" i="8"/>
  <c r="I148" i="8"/>
  <c r="I151" i="8"/>
  <c r="I155" i="8"/>
  <c r="I159" i="8"/>
  <c r="I162" i="8"/>
  <c r="I166" i="8"/>
  <c r="I170" i="8"/>
  <c r="I174" i="8"/>
  <c r="I178" i="8"/>
  <c r="I182" i="8"/>
  <c r="I185" i="8"/>
  <c r="I192" i="8"/>
  <c r="I195" i="8"/>
  <c r="I199" i="8"/>
  <c r="I203" i="8"/>
  <c r="I207" i="8"/>
  <c r="I213" i="8"/>
  <c r="I220" i="8"/>
  <c r="I224" i="8"/>
  <c r="I228" i="8"/>
  <c r="I232" i="8"/>
  <c r="I236" i="8"/>
  <c r="I240" i="8"/>
  <c r="I244" i="8"/>
  <c r="I251" i="8"/>
  <c r="I254" i="8"/>
  <c r="I258" i="8"/>
  <c r="I267" i="8"/>
  <c r="I273" i="8"/>
  <c r="I277" i="8"/>
  <c r="I280" i="8"/>
  <c r="J30" i="8"/>
  <c r="J146" i="8"/>
  <c r="J262" i="8"/>
  <c r="J323" i="8"/>
  <c r="J344" i="8"/>
  <c r="J362" i="8"/>
  <c r="I23" i="8"/>
  <c r="I47" i="8"/>
  <c r="I74" i="8"/>
  <c r="I95" i="8"/>
  <c r="I115" i="8"/>
  <c r="I135" i="8"/>
  <c r="I152" i="8"/>
  <c r="I167" i="8"/>
  <c r="I189" i="8"/>
  <c r="I196" i="8"/>
  <c r="I204" i="8"/>
  <c r="I211" i="8"/>
  <c r="I217" i="8"/>
  <c r="I225" i="8"/>
  <c r="I233" i="8"/>
  <c r="I241" i="8"/>
  <c r="I248" i="8"/>
  <c r="I255" i="8"/>
  <c r="I268" i="8"/>
  <c r="I274" i="8"/>
  <c r="I281" i="8"/>
  <c r="I286" i="8"/>
  <c r="I290" i="8"/>
  <c r="I294" i="8"/>
  <c r="I298" i="8"/>
  <c r="I302" i="8"/>
  <c r="I305" i="8"/>
  <c r="I309" i="8"/>
  <c r="I313" i="8"/>
  <c r="I317" i="8"/>
  <c r="I319" i="8"/>
  <c r="I322" i="8"/>
  <c r="I337" i="8"/>
  <c r="I339" i="8"/>
  <c r="I343" i="8"/>
  <c r="I350" i="8"/>
  <c r="I356" i="8"/>
  <c r="I208" i="8"/>
  <c r="I214" i="8"/>
  <c r="I229" i="8"/>
  <c r="I245" i="8"/>
  <c r="I259" i="8"/>
  <c r="I271" i="8"/>
  <c r="I284" i="8"/>
  <c r="I288" i="8"/>
  <c r="I292" i="8"/>
  <c r="I296" i="8"/>
  <c r="I300" i="8"/>
  <c r="I304" i="8"/>
  <c r="I307" i="8"/>
  <c r="I311" i="8"/>
  <c r="I315" i="8"/>
  <c r="I325" i="8"/>
  <c r="I328" i="8"/>
  <c r="I330" i="8"/>
  <c r="I333" i="8"/>
  <c r="I335" i="8"/>
  <c r="I341" i="8"/>
  <c r="I345" i="8"/>
  <c r="I352" i="8"/>
  <c r="I358" i="8"/>
  <c r="I363" i="8"/>
  <c r="I365" i="8"/>
  <c r="I8" i="8"/>
  <c r="J234" i="8"/>
  <c r="J357" i="8"/>
  <c r="I41" i="8"/>
  <c r="I149" i="8"/>
  <c r="I187" i="8"/>
  <c r="I209" i="8"/>
  <c r="I222" i="8"/>
  <c r="I246" i="8"/>
  <c r="I260" i="8"/>
  <c r="I279" i="8"/>
  <c r="I293" i="8"/>
  <c r="I301" i="8"/>
  <c r="I312" i="8"/>
  <c r="I321" i="8"/>
  <c r="I326" i="8"/>
  <c r="I334" i="8"/>
  <c r="I342" i="8"/>
  <c r="I349" i="8"/>
  <c r="I354" i="8"/>
  <c r="I361" i="8"/>
  <c r="J55" i="8"/>
  <c r="J176" i="8"/>
  <c r="J290" i="8"/>
  <c r="J327" i="8"/>
  <c r="J348" i="8"/>
  <c r="I53" i="8"/>
  <c r="I79" i="8"/>
  <c r="I101" i="8"/>
  <c r="I119" i="8"/>
  <c r="I138" i="8"/>
  <c r="I156" i="8"/>
  <c r="I171" i="8"/>
  <c r="I183" i="8"/>
  <c r="I190" i="8"/>
  <c r="I197" i="8"/>
  <c r="I205" i="8"/>
  <c r="I212" i="8"/>
  <c r="I218" i="8"/>
  <c r="I226" i="8"/>
  <c r="I234" i="8"/>
  <c r="I242" i="8"/>
  <c r="I249" i="8"/>
  <c r="I256" i="8"/>
  <c r="I262" i="8"/>
  <c r="I269" i="8"/>
  <c r="I275" i="8"/>
  <c r="I282" i="8"/>
  <c r="I287" i="8"/>
  <c r="I291" i="8"/>
  <c r="I295" i="8"/>
  <c r="I299" i="8"/>
  <c r="I303" i="8"/>
  <c r="I306" i="8"/>
  <c r="I310" i="8"/>
  <c r="I314" i="8"/>
  <c r="I318" i="8"/>
  <c r="I320" i="8"/>
  <c r="I323" i="8"/>
  <c r="I327" i="8"/>
  <c r="I329" i="8"/>
  <c r="I332" i="8"/>
  <c r="I340" i="8"/>
  <c r="I344" i="8"/>
  <c r="I348" i="8"/>
  <c r="I351" i="8"/>
  <c r="I353" i="8"/>
  <c r="I355" i="8"/>
  <c r="I357" i="8"/>
  <c r="I360" i="8"/>
  <c r="I362" i="8"/>
  <c r="I7" i="8"/>
  <c r="I200" i="8"/>
  <c r="I221" i="8"/>
  <c r="I237" i="8"/>
  <c r="I252" i="8"/>
  <c r="I264" i="8"/>
  <c r="I278" i="8"/>
  <c r="J318" i="8"/>
  <c r="I69" i="8"/>
  <c r="I163" i="8"/>
  <c r="I201" i="8"/>
  <c r="I230" i="8"/>
  <c r="I265" i="8"/>
  <c r="I285" i="8"/>
  <c r="I316" i="8"/>
  <c r="I336" i="8"/>
  <c r="I347" i="8"/>
  <c r="J87" i="8"/>
  <c r="J205" i="8"/>
  <c r="J310" i="8"/>
  <c r="J332" i="8"/>
  <c r="J353" i="8"/>
  <c r="I11" i="8"/>
  <c r="I35" i="8"/>
  <c r="I61" i="8"/>
  <c r="I85" i="8"/>
  <c r="I106" i="8"/>
  <c r="I124" i="8"/>
  <c r="I144" i="8"/>
  <c r="I160" i="8"/>
  <c r="I175" i="8"/>
  <c r="I186" i="8"/>
  <c r="I193" i="8"/>
  <c r="I17" i="8"/>
  <c r="I90" i="8"/>
  <c r="I130" i="8"/>
  <c r="I179" i="8"/>
  <c r="I194" i="8"/>
  <c r="I215" i="8"/>
  <c r="I238" i="8"/>
  <c r="I272" i="8"/>
  <c r="I289" i="8"/>
  <c r="I297" i="8"/>
  <c r="I308" i="8"/>
  <c r="I324" i="8"/>
  <c r="I331" i="8"/>
  <c r="I338" i="8"/>
  <c r="I346" i="8"/>
  <c r="I359" i="8"/>
  <c r="I364" i="8"/>
  <c r="R130" i="4" l="1"/>
  <c r="N130" i="4"/>
  <c r="J130" i="4"/>
  <c r="P130" i="4"/>
  <c r="H130" i="4"/>
  <c r="Q130" i="4"/>
  <c r="M130" i="4"/>
  <c r="I130" i="4"/>
  <c r="L130" i="4"/>
  <c r="K130" i="4"/>
  <c r="T130" i="4"/>
  <c r="S130" i="4"/>
  <c r="O130" i="4"/>
  <c r="U130" i="4"/>
  <c r="E158" i="16" s="1"/>
  <c r="F157" i="4"/>
  <c r="M126" i="4"/>
  <c r="E82" i="16" s="1"/>
  <c r="F280" i="4"/>
  <c r="E288" i="16" s="1"/>
  <c r="F279" i="4"/>
  <c r="E287" i="16" s="1"/>
  <c r="F278" i="4"/>
  <c r="E286" i="16" s="1"/>
  <c r="F267" i="4"/>
  <c r="E295" i="16" s="1"/>
  <c r="F268" i="4"/>
  <c r="E296" i="16" s="1"/>
  <c r="F269" i="4"/>
  <c r="E298" i="16" s="1"/>
  <c r="F270" i="4"/>
  <c r="E297" i="16" s="1"/>
  <c r="H150" i="4"/>
  <c r="L150" i="4"/>
  <c r="E75" i="16" s="1"/>
  <c r="P150" i="4"/>
  <c r="E99" i="16" s="1"/>
  <c r="T150" i="4"/>
  <c r="E132" i="16" s="1"/>
  <c r="K149" i="4"/>
  <c r="E35" i="16" s="1"/>
  <c r="O149" i="4"/>
  <c r="S149" i="4"/>
  <c r="I150" i="4"/>
  <c r="E18" i="16" s="1"/>
  <c r="M150" i="4"/>
  <c r="E86" i="16" s="1"/>
  <c r="Q150" i="4"/>
  <c r="E112" i="16" s="1"/>
  <c r="U150" i="4"/>
  <c r="L149" i="4"/>
  <c r="E74" i="16" s="1"/>
  <c r="P149" i="4"/>
  <c r="E98" i="16" s="1"/>
  <c r="T149" i="4"/>
  <c r="E131" i="16" s="1"/>
  <c r="J150" i="4"/>
  <c r="E55" i="16" s="1"/>
  <c r="N150" i="4"/>
  <c r="R150" i="4"/>
  <c r="E124" i="16" s="1"/>
  <c r="I149" i="4"/>
  <c r="E17" i="16" s="1"/>
  <c r="M149" i="4"/>
  <c r="E85" i="16" s="1"/>
  <c r="Q149" i="4"/>
  <c r="E111" i="16" s="1"/>
  <c r="U149" i="4"/>
  <c r="K150" i="4"/>
  <c r="E36" i="16" s="1"/>
  <c r="O150" i="4"/>
  <c r="S150" i="4"/>
  <c r="J149" i="4"/>
  <c r="E54" i="16" s="1"/>
  <c r="N149" i="4"/>
  <c r="R149" i="4"/>
  <c r="E123" i="16" s="1"/>
  <c r="H149" i="4"/>
  <c r="J123" i="4"/>
  <c r="N123" i="4"/>
  <c r="R123" i="4"/>
  <c r="H124" i="4"/>
  <c r="L124" i="4"/>
  <c r="P124" i="4"/>
  <c r="T124" i="4"/>
  <c r="J125" i="4"/>
  <c r="E44" i="16" s="1"/>
  <c r="N125" i="4"/>
  <c r="R125" i="4"/>
  <c r="H126" i="4"/>
  <c r="L126" i="4"/>
  <c r="E63" i="16" s="1"/>
  <c r="P126" i="4"/>
  <c r="T126" i="4"/>
  <c r="J127" i="4"/>
  <c r="N127" i="4"/>
  <c r="R127" i="4"/>
  <c r="H128" i="4"/>
  <c r="L128" i="4"/>
  <c r="P128" i="4"/>
  <c r="T128" i="4"/>
  <c r="J129" i="4"/>
  <c r="N129" i="4"/>
  <c r="R129" i="4"/>
  <c r="H131" i="4"/>
  <c r="L131" i="4"/>
  <c r="P131" i="4"/>
  <c r="T131" i="4"/>
  <c r="J132" i="4"/>
  <c r="E46" i="16" s="1"/>
  <c r="N132" i="4"/>
  <c r="R132" i="4"/>
  <c r="H133" i="4"/>
  <c r="L133" i="4"/>
  <c r="E66" i="16" s="1"/>
  <c r="P133" i="4"/>
  <c r="T133" i="4"/>
  <c r="J134" i="4"/>
  <c r="E48" i="16" s="1"/>
  <c r="N134" i="4"/>
  <c r="R134" i="4"/>
  <c r="H135" i="4"/>
  <c r="L135" i="4"/>
  <c r="E68" i="16" s="1"/>
  <c r="P135" i="4"/>
  <c r="T135" i="4"/>
  <c r="J136" i="4"/>
  <c r="E50" i="16" s="1"/>
  <c r="N136" i="4"/>
  <c r="R136" i="4"/>
  <c r="J137" i="4"/>
  <c r="N137" i="4"/>
  <c r="R137" i="4"/>
  <c r="H138" i="4"/>
  <c r="L138" i="4"/>
  <c r="E70" i="16" s="1"/>
  <c r="P138" i="4"/>
  <c r="E94" i="16" s="1"/>
  <c r="T138" i="4"/>
  <c r="J139" i="4"/>
  <c r="N139" i="4"/>
  <c r="R139" i="4"/>
  <c r="H140" i="4"/>
  <c r="L140" i="4"/>
  <c r="P140" i="4"/>
  <c r="T140" i="4"/>
  <c r="J141" i="4"/>
  <c r="N141" i="4"/>
  <c r="R141" i="4"/>
  <c r="H142" i="4"/>
  <c r="L142" i="4"/>
  <c r="P142" i="4"/>
  <c r="T142" i="4"/>
  <c r="J143" i="4"/>
  <c r="N143" i="4"/>
  <c r="R143" i="4"/>
  <c r="H144" i="4"/>
  <c r="L144" i="4"/>
  <c r="P144" i="4"/>
  <c r="T144" i="4"/>
  <c r="K123" i="4"/>
  <c r="E25" i="16" s="1"/>
  <c r="O123" i="4"/>
  <c r="S123" i="4"/>
  <c r="I124" i="4"/>
  <c r="M124" i="4"/>
  <c r="Q124" i="4"/>
  <c r="U124" i="4"/>
  <c r="K125" i="4"/>
  <c r="O125" i="4"/>
  <c r="S125" i="4"/>
  <c r="I126" i="4"/>
  <c r="Q126" i="4"/>
  <c r="U126" i="4"/>
  <c r="E154" i="16" s="1"/>
  <c r="K127" i="4"/>
  <c r="O127" i="4"/>
  <c r="S127" i="4"/>
  <c r="I128" i="4"/>
  <c r="M128" i="4"/>
  <c r="Q128" i="4"/>
  <c r="U128" i="4"/>
  <c r="E156" i="16" s="1"/>
  <c r="K129" i="4"/>
  <c r="E27" i="16" s="1"/>
  <c r="O129" i="4"/>
  <c r="S129" i="4"/>
  <c r="E139" i="16" s="1"/>
  <c r="I131" i="4"/>
  <c r="M131" i="4"/>
  <c r="Q131" i="4"/>
  <c r="U131" i="4"/>
  <c r="E159" i="16" s="1"/>
  <c r="K132" i="4"/>
  <c r="O132" i="4"/>
  <c r="S132" i="4"/>
  <c r="E140" i="16" s="1"/>
  <c r="I133" i="4"/>
  <c r="E10" i="16" s="1"/>
  <c r="M133" i="4"/>
  <c r="Q133" i="4"/>
  <c r="U133" i="4"/>
  <c r="E161" i="16" s="1"/>
  <c r="K134" i="4"/>
  <c r="O134" i="4"/>
  <c r="S134" i="4"/>
  <c r="E142" i="16" s="1"/>
  <c r="I135" i="4"/>
  <c r="E11" i="16" s="1"/>
  <c r="M135" i="4"/>
  <c r="Q135" i="4"/>
  <c r="U135" i="4"/>
  <c r="E163" i="16" s="1"/>
  <c r="K136" i="4"/>
  <c r="E29" i="16" s="1"/>
  <c r="O136" i="4"/>
  <c r="S136" i="4"/>
  <c r="E143" i="16" s="1"/>
  <c r="K137" i="4"/>
  <c r="O137" i="4"/>
  <c r="S137" i="4"/>
  <c r="I138" i="4"/>
  <c r="E13" i="16" s="1"/>
  <c r="M138" i="4"/>
  <c r="Q138" i="4"/>
  <c r="U138" i="4"/>
  <c r="E166" i="16" s="1"/>
  <c r="K139" i="4"/>
  <c r="E31" i="16" s="1"/>
  <c r="O139" i="4"/>
  <c r="S139" i="4"/>
  <c r="I140" i="4"/>
  <c r="M140" i="4"/>
  <c r="Q140" i="4"/>
  <c r="U140" i="4"/>
  <c r="E168" i="16" s="1"/>
  <c r="K141" i="4"/>
  <c r="O141" i="4"/>
  <c r="S141" i="4"/>
  <c r="E145" i="16" s="1"/>
  <c r="I142" i="4"/>
  <c r="M142" i="4"/>
  <c r="Q142" i="4"/>
  <c r="U142" i="4"/>
  <c r="K143" i="4"/>
  <c r="O143" i="4"/>
  <c r="S143" i="4"/>
  <c r="I144" i="4"/>
  <c r="M144" i="4"/>
  <c r="Q144" i="4"/>
  <c r="U144" i="4"/>
  <c r="E171" i="16" s="1"/>
  <c r="H123" i="4"/>
  <c r="L123" i="4"/>
  <c r="E62" i="16" s="1"/>
  <c r="P123" i="4"/>
  <c r="T123" i="4"/>
  <c r="J124" i="4"/>
  <c r="E43" i="16" s="1"/>
  <c r="N124" i="4"/>
  <c r="R124" i="4"/>
  <c r="H125" i="4"/>
  <c r="L125" i="4"/>
  <c r="P125" i="4"/>
  <c r="T125" i="4"/>
  <c r="J126" i="4"/>
  <c r="E45" i="16" s="1"/>
  <c r="N126" i="4"/>
  <c r="R126" i="4"/>
  <c r="H127" i="4"/>
  <c r="L127" i="4"/>
  <c r="P127" i="4"/>
  <c r="T127" i="4"/>
  <c r="J128" i="4"/>
  <c r="N128" i="4"/>
  <c r="R128" i="4"/>
  <c r="H129" i="4"/>
  <c r="L129" i="4"/>
  <c r="E64" i="16" s="1"/>
  <c r="P129" i="4"/>
  <c r="T129" i="4"/>
  <c r="J131" i="4"/>
  <c r="N131" i="4"/>
  <c r="R131" i="4"/>
  <c r="H132" i="4"/>
  <c r="L132" i="4"/>
  <c r="E65" i="16" s="1"/>
  <c r="P132" i="4"/>
  <c r="T132" i="4"/>
  <c r="J133" i="4"/>
  <c r="E47" i="16" s="1"/>
  <c r="N133" i="4"/>
  <c r="R133" i="4"/>
  <c r="H134" i="4"/>
  <c r="L134" i="4"/>
  <c r="E67" i="16" s="1"/>
  <c r="P134" i="4"/>
  <c r="T134" i="4"/>
  <c r="J135" i="4"/>
  <c r="E49" i="16" s="1"/>
  <c r="N135" i="4"/>
  <c r="R135" i="4"/>
  <c r="H136" i="4"/>
  <c r="L136" i="4"/>
  <c r="E69" i="16" s="1"/>
  <c r="P136" i="4"/>
  <c r="T136" i="4"/>
  <c r="H137" i="4"/>
  <c r="L137" i="4"/>
  <c r="P137" i="4"/>
  <c r="T137" i="4"/>
  <c r="J138" i="4"/>
  <c r="E51" i="16" s="1"/>
  <c r="N138" i="4"/>
  <c r="R138" i="4"/>
  <c r="H139" i="4"/>
  <c r="L139" i="4"/>
  <c r="P139" i="4"/>
  <c r="T139" i="4"/>
  <c r="U123" i="4"/>
  <c r="E153" i="16" s="1"/>
  <c r="I125" i="4"/>
  <c r="K126" i="4"/>
  <c r="E26" i="16" s="1"/>
  <c r="M127" i="4"/>
  <c r="O128" i="4"/>
  <c r="Q129" i="4"/>
  <c r="S131" i="4"/>
  <c r="U132" i="4"/>
  <c r="E160" i="16" s="1"/>
  <c r="I134" i="4"/>
  <c r="K135" i="4"/>
  <c r="M136" i="4"/>
  <c r="Q137" i="4"/>
  <c r="S138" i="4"/>
  <c r="E144" i="16" s="1"/>
  <c r="U139" i="4"/>
  <c r="E167" i="16" s="1"/>
  <c r="O140" i="4"/>
  <c r="I141" i="4"/>
  <c r="Q141" i="4"/>
  <c r="K142" i="4"/>
  <c r="S142" i="4"/>
  <c r="E146" i="16" s="1"/>
  <c r="M143" i="4"/>
  <c r="U143" i="4"/>
  <c r="E170" i="16" s="1"/>
  <c r="O144" i="4"/>
  <c r="K122" i="4"/>
  <c r="O122" i="4"/>
  <c r="S122" i="4"/>
  <c r="R144" i="4"/>
  <c r="L122" i="4"/>
  <c r="T122" i="4"/>
  <c r="O124" i="4"/>
  <c r="S126" i="4"/>
  <c r="E138" i="16" s="1"/>
  <c r="K131" i="4"/>
  <c r="O133" i="4"/>
  <c r="U136" i="4"/>
  <c r="E164" i="16" s="1"/>
  <c r="M139" i="4"/>
  <c r="K140" i="4"/>
  <c r="U141" i="4"/>
  <c r="E169" i="16" s="1"/>
  <c r="O142" i="4"/>
  <c r="K144" i="4"/>
  <c r="I122" i="4"/>
  <c r="Q122" i="4"/>
  <c r="S124" i="4"/>
  <c r="I127" i="4"/>
  <c r="M129" i="4"/>
  <c r="S133" i="4"/>
  <c r="E141" i="16" s="1"/>
  <c r="I136" i="4"/>
  <c r="E12" i="16" s="1"/>
  <c r="M137" i="4"/>
  <c r="Q139" i="4"/>
  <c r="N140" i="4"/>
  <c r="H141" i="4"/>
  <c r="P141" i="4"/>
  <c r="J142" i="4"/>
  <c r="R142" i="4"/>
  <c r="L143" i="4"/>
  <c r="N144" i="4"/>
  <c r="J122" i="4"/>
  <c r="R122" i="4"/>
  <c r="I123" i="4"/>
  <c r="E8" i="16" s="1"/>
  <c r="K124" i="4"/>
  <c r="M125" i="4"/>
  <c r="O126" i="4"/>
  <c r="Q127" i="4"/>
  <c r="S128" i="4"/>
  <c r="U129" i="4"/>
  <c r="E157" i="16" s="1"/>
  <c r="I132" i="4"/>
  <c r="E9" i="16" s="1"/>
  <c r="K133" i="4"/>
  <c r="E28" i="16" s="1"/>
  <c r="M134" i="4"/>
  <c r="O135" i="4"/>
  <c r="Q136" i="4"/>
  <c r="U137" i="4"/>
  <c r="E165" i="16" s="1"/>
  <c r="I139" i="4"/>
  <c r="E14" i="16" s="1"/>
  <c r="J140" i="4"/>
  <c r="R140" i="4"/>
  <c r="L141" i="4"/>
  <c r="T141" i="4"/>
  <c r="N142" i="4"/>
  <c r="H143" i="4"/>
  <c r="P143" i="4"/>
  <c r="J144" i="4"/>
  <c r="P122" i="4"/>
  <c r="M123" i="4"/>
  <c r="Q125" i="4"/>
  <c r="U127" i="4"/>
  <c r="E155" i="16" s="1"/>
  <c r="I129" i="4"/>
  <c r="M132" i="4"/>
  <c r="Q134" i="4"/>
  <c r="S135" i="4"/>
  <c r="I137" i="4"/>
  <c r="K138" i="4"/>
  <c r="E30" i="16" s="1"/>
  <c r="S140" i="4"/>
  <c r="M141" i="4"/>
  <c r="I143" i="4"/>
  <c r="Q143" i="4"/>
  <c r="S144" i="4"/>
  <c r="M122" i="4"/>
  <c r="U122" i="4"/>
  <c r="Q123" i="4"/>
  <c r="U125" i="4"/>
  <c r="K128" i="4"/>
  <c r="O131" i="4"/>
  <c r="Q132" i="4"/>
  <c r="U134" i="4"/>
  <c r="E162" i="16" s="1"/>
  <c r="O138" i="4"/>
  <c r="T143" i="4"/>
  <c r="N122" i="4"/>
  <c r="H122" i="4"/>
  <c r="F130" i="4" l="1"/>
  <c r="E467" i="16"/>
  <c r="E83" i="16"/>
  <c r="Q82" i="16"/>
  <c r="Q83" i="16" s="1"/>
  <c r="I82" i="16"/>
  <c r="I83" i="16" s="1"/>
  <c r="O82" i="16"/>
  <c r="O83" i="16" s="1"/>
  <c r="M82" i="16"/>
  <c r="M83" i="16" s="1"/>
  <c r="H82" i="16"/>
  <c r="N82" i="16"/>
  <c r="N83" i="16" s="1"/>
  <c r="P82" i="16"/>
  <c r="P83" i="16" s="1"/>
  <c r="J82" i="16"/>
  <c r="J83" i="16" s="1"/>
  <c r="O27" i="16"/>
  <c r="J27" i="16"/>
  <c r="P27" i="16"/>
  <c r="K27" i="16"/>
  <c r="I27" i="16"/>
  <c r="H27" i="16"/>
  <c r="M27" i="16"/>
  <c r="L27" i="16"/>
  <c r="Q27" i="16"/>
  <c r="N27" i="16"/>
  <c r="F143" i="4"/>
  <c r="F141" i="4"/>
  <c r="F136" i="4"/>
  <c r="F127" i="4"/>
  <c r="F140" i="4"/>
  <c r="F133" i="4"/>
  <c r="F124" i="4"/>
  <c r="F137" i="4"/>
  <c r="F129" i="4"/>
  <c r="F142" i="4"/>
  <c r="F135" i="4"/>
  <c r="F126" i="4"/>
  <c r="F139" i="4"/>
  <c r="F132" i="4"/>
  <c r="F123" i="4"/>
  <c r="F144" i="4"/>
  <c r="F128" i="4"/>
  <c r="F134" i="4"/>
  <c r="F125" i="4"/>
  <c r="F138" i="4"/>
  <c r="F131" i="4"/>
  <c r="H83" i="16" l="1"/>
  <c r="R27" i="16"/>
  <c r="S27" i="16" s="1"/>
  <c r="G157" i="16" l="1"/>
  <c r="G169" i="16" l="1"/>
  <c r="C93" i="16" l="1"/>
  <c r="E93" i="16" s="1"/>
  <c r="G131" i="16" l="1"/>
  <c r="G278" i="16"/>
  <c r="G439" i="16" l="1"/>
  <c r="E281" i="16" l="1"/>
  <c r="E283" i="16" s="1"/>
  <c r="G98" i="16"/>
  <c r="J8" i="12" l="1"/>
  <c r="H9" i="4" s="1"/>
  <c r="G297" i="16" l="1"/>
  <c r="I22" i="19" l="1"/>
  <c r="E24" i="20" l="1"/>
  <c r="E23" i="20"/>
  <c r="E22" i="20"/>
  <c r="E21" i="20"/>
  <c r="E20" i="20"/>
  <c r="E19" i="20"/>
  <c r="E18" i="20"/>
  <c r="E16" i="20"/>
  <c r="E15" i="20"/>
  <c r="E12" i="20"/>
  <c r="E11" i="20"/>
  <c r="E8" i="20"/>
  <c r="E7" i="20"/>
  <c r="C51" i="19"/>
  <c r="D50" i="19" s="1"/>
  <c r="B18" i="18"/>
  <c r="F83" i="18"/>
  <c r="B83" i="18"/>
  <c r="F125" i="18"/>
  <c r="J14" i="19"/>
  <c r="H125" i="18"/>
  <c r="G125" i="18"/>
  <c r="E125" i="18"/>
  <c r="E131" i="18" s="1"/>
  <c r="C125" i="18"/>
  <c r="C131" i="18" s="1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H83" i="18"/>
  <c r="G83" i="18"/>
  <c r="E83" i="18"/>
  <c r="D83" i="18"/>
  <c r="C83" i="18"/>
  <c r="H54" i="18"/>
  <c r="G54" i="18"/>
  <c r="C176" i="16"/>
  <c r="E176" i="16" s="1"/>
  <c r="C175" i="16"/>
  <c r="E175" i="16" s="1"/>
  <c r="G176" i="16"/>
  <c r="G175" i="16"/>
  <c r="G132" i="16"/>
  <c r="G168" i="16"/>
  <c r="G145" i="16"/>
  <c r="G144" i="16"/>
  <c r="G143" i="16"/>
  <c r="G142" i="16"/>
  <c r="G141" i="16"/>
  <c r="C119" i="16"/>
  <c r="E119" i="16" s="1"/>
  <c r="G124" i="16"/>
  <c r="G123" i="16"/>
  <c r="G119" i="16"/>
  <c r="G111" i="16"/>
  <c r="C107" i="16"/>
  <c r="E107" i="16" s="1"/>
  <c r="C106" i="16"/>
  <c r="E106" i="16" s="1"/>
  <c r="G112" i="16"/>
  <c r="G107" i="16"/>
  <c r="G106" i="16"/>
  <c r="G99" i="16"/>
  <c r="G94" i="16"/>
  <c r="G93" i="16"/>
  <c r="G86" i="16"/>
  <c r="G85" i="16"/>
  <c r="G36" i="16"/>
  <c r="G29" i="16"/>
  <c r="G28" i="16"/>
  <c r="G26" i="16"/>
  <c r="G14" i="16"/>
  <c r="G13" i="16"/>
  <c r="G12" i="16"/>
  <c r="G11" i="16"/>
  <c r="G10" i="16"/>
  <c r="G9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38" i="16"/>
  <c r="G235" i="16"/>
  <c r="G232" i="16"/>
  <c r="G231" i="16"/>
  <c r="G228" i="16"/>
  <c r="G225" i="16"/>
  <c r="G224" i="16"/>
  <c r="G223" i="16"/>
  <c r="G222" i="16"/>
  <c r="G219" i="16"/>
  <c r="G218" i="16"/>
  <c r="G217" i="16"/>
  <c r="G216" i="16"/>
  <c r="G215" i="16"/>
  <c r="G214" i="16"/>
  <c r="G213" i="16"/>
  <c r="G210" i="16"/>
  <c r="G209" i="16"/>
  <c r="G208" i="16"/>
  <c r="G207" i="16"/>
  <c r="G206" i="16"/>
  <c r="G205" i="16"/>
  <c r="G202" i="16"/>
  <c r="G201" i="16"/>
  <c r="G200" i="16"/>
  <c r="G199" i="16"/>
  <c r="G198" i="16"/>
  <c r="G195" i="16"/>
  <c r="G194" i="16"/>
  <c r="G193" i="16"/>
  <c r="G192" i="16"/>
  <c r="G191" i="16"/>
  <c r="G188" i="16"/>
  <c r="G187" i="16"/>
  <c r="G186" i="16"/>
  <c r="G393" i="16"/>
  <c r="G392" i="16"/>
  <c r="G369" i="16"/>
  <c r="G366" i="16"/>
  <c r="G359" i="16"/>
  <c r="G341" i="16"/>
  <c r="J34" i="17"/>
  <c r="M17" i="17"/>
  <c r="M16" i="17"/>
  <c r="M15" i="17"/>
  <c r="M14" i="17"/>
  <c r="M13" i="17"/>
  <c r="M12" i="17"/>
  <c r="M11" i="17"/>
  <c r="M10" i="17"/>
  <c r="M9" i="17"/>
  <c r="M8" i="17"/>
  <c r="G438" i="16"/>
  <c r="G437" i="16"/>
  <c r="G406" i="16"/>
  <c r="G405" i="16"/>
  <c r="G404" i="16"/>
  <c r="G400" i="16"/>
  <c r="G399" i="16"/>
  <c r="G398" i="16"/>
  <c r="G397" i="16"/>
  <c r="G396" i="16"/>
  <c r="G395" i="16"/>
  <c r="G394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56" i="16"/>
  <c r="G355" i="16"/>
  <c r="G354" i="16"/>
  <c r="G353" i="16"/>
  <c r="G350" i="16"/>
  <c r="G349" i="16"/>
  <c r="G348" i="16"/>
  <c r="G347" i="16"/>
  <c r="G346" i="16"/>
  <c r="G345" i="16"/>
  <c r="G344" i="16"/>
  <c r="G340" i="16"/>
  <c r="G339" i="16"/>
  <c r="G338" i="16"/>
  <c r="G337" i="16"/>
  <c r="G336" i="16"/>
  <c r="G333" i="16"/>
  <c r="G332" i="16"/>
  <c r="G331" i="16"/>
  <c r="G330" i="16"/>
  <c r="G329" i="16"/>
  <c r="G326" i="16"/>
  <c r="G325" i="16"/>
  <c r="G324" i="16"/>
  <c r="G323" i="16"/>
  <c r="G322" i="16"/>
  <c r="G319" i="16"/>
  <c r="G318" i="16"/>
  <c r="G317" i="16"/>
  <c r="G288" i="16"/>
  <c r="G280" i="16"/>
  <c r="G279" i="16"/>
  <c r="G298" i="16"/>
  <c r="G296" i="16"/>
  <c r="G295" i="16"/>
  <c r="G171" i="16"/>
  <c r="G170" i="16"/>
  <c r="G167" i="16"/>
  <c r="G166" i="16"/>
  <c r="G165" i="16"/>
  <c r="G164" i="16"/>
  <c r="G163" i="16"/>
  <c r="G162" i="16"/>
  <c r="G161" i="16"/>
  <c r="G160" i="16"/>
  <c r="G159" i="16"/>
  <c r="G156" i="16"/>
  <c r="G155" i="16"/>
  <c r="G154" i="16"/>
  <c r="G153" i="16"/>
  <c r="G146" i="16"/>
  <c r="G140" i="16"/>
  <c r="G139" i="16"/>
  <c r="G138" i="16"/>
  <c r="G75" i="16"/>
  <c r="G74" i="16"/>
  <c r="G70" i="16"/>
  <c r="G69" i="16"/>
  <c r="G68" i="16"/>
  <c r="G67" i="16"/>
  <c r="G66" i="16"/>
  <c r="G65" i="16"/>
  <c r="G64" i="16"/>
  <c r="G63" i="16"/>
  <c r="G62" i="16"/>
  <c r="G55" i="16"/>
  <c r="G54" i="16"/>
  <c r="G51" i="16"/>
  <c r="G50" i="16"/>
  <c r="G49" i="16"/>
  <c r="G48" i="16"/>
  <c r="G47" i="16"/>
  <c r="G46" i="16"/>
  <c r="G45" i="16"/>
  <c r="G44" i="16"/>
  <c r="G43" i="16"/>
  <c r="G35" i="16"/>
  <c r="G31" i="16"/>
  <c r="G30" i="16"/>
  <c r="G25" i="16"/>
  <c r="G18" i="16"/>
  <c r="G17" i="16"/>
  <c r="G8" i="16"/>
  <c r="B76" i="18" l="1"/>
  <c r="G18" i="17"/>
  <c r="L82" i="16" s="1"/>
  <c r="L83" i="16" s="1"/>
  <c r="E458" i="16"/>
  <c r="G101" i="18"/>
  <c r="I54" i="18"/>
  <c r="G119" i="18"/>
  <c r="H119" i="18"/>
  <c r="F131" i="18"/>
  <c r="I83" i="18"/>
  <c r="B84" i="18" s="1"/>
  <c r="H101" i="18"/>
  <c r="D49" i="19"/>
  <c r="F18" i="17" s="1"/>
  <c r="K82" i="16" s="1"/>
  <c r="J23" i="19"/>
  <c r="C41" i="17" l="1"/>
  <c r="C15" i="25"/>
  <c r="K83" i="16"/>
  <c r="R82" i="16"/>
  <c r="M18" i="17"/>
  <c r="G84" i="18"/>
  <c r="D84" i="18"/>
  <c r="H84" i="18"/>
  <c r="F84" i="18"/>
  <c r="G41" i="17" s="1"/>
  <c r="D51" i="19"/>
  <c r="B75" i="18"/>
  <c r="E84" i="18"/>
  <c r="C84" i="18"/>
  <c r="F41" i="17" l="1"/>
  <c r="F15" i="25"/>
  <c r="I41" i="17"/>
  <c r="H15" i="25"/>
  <c r="E41" i="17"/>
  <c r="E15" i="25"/>
  <c r="D41" i="17"/>
  <c r="J41" i="17" s="1"/>
  <c r="D15" i="25"/>
  <c r="I15" i="25" s="1"/>
  <c r="H41" i="17"/>
  <c r="G15" i="25"/>
  <c r="R83" i="16"/>
  <c r="S82" i="16"/>
  <c r="S83" i="16" s="1"/>
  <c r="I84" i="18"/>
  <c r="J70" i="12" l="1"/>
  <c r="U89" i="4" s="1"/>
  <c r="J58" i="12"/>
  <c r="U77" i="4" s="1"/>
  <c r="J54" i="12"/>
  <c r="U73" i="4" s="1"/>
  <c r="J50" i="12"/>
  <c r="U69" i="4" s="1"/>
  <c r="J46" i="12"/>
  <c r="U65" i="4" s="1"/>
  <c r="J43" i="12"/>
  <c r="J39" i="12"/>
  <c r="Q52" i="4" s="1"/>
  <c r="J27" i="12"/>
  <c r="M36" i="4" s="1"/>
  <c r="J24" i="12"/>
  <c r="J31" i="4" s="1"/>
  <c r="J17" i="12"/>
  <c r="I22" i="4" s="1"/>
  <c r="J14" i="12"/>
  <c r="I17" i="4" s="1"/>
  <c r="U92" i="4"/>
  <c r="F92" i="4" s="1"/>
  <c r="E400" i="16" s="1"/>
  <c r="J72" i="12"/>
  <c r="U91" i="4" s="1"/>
  <c r="J71" i="12"/>
  <c r="U90" i="4" s="1"/>
  <c r="J69" i="12"/>
  <c r="U88" i="4" s="1"/>
  <c r="J68" i="12"/>
  <c r="U87" i="4" s="1"/>
  <c r="J66" i="12"/>
  <c r="U85" i="4" s="1"/>
  <c r="J65" i="12"/>
  <c r="U84" i="4" s="1"/>
  <c r="J64" i="12"/>
  <c r="U83" i="4" s="1"/>
  <c r="J63" i="12"/>
  <c r="U82" i="4" s="1"/>
  <c r="J62" i="12"/>
  <c r="U81" i="4" s="1"/>
  <c r="J61" i="12"/>
  <c r="U80" i="4" s="1"/>
  <c r="J60" i="12"/>
  <c r="U79" i="4" s="1"/>
  <c r="J57" i="12"/>
  <c r="U76" i="4" s="1"/>
  <c r="J56" i="12"/>
  <c r="U75" i="4" s="1"/>
  <c r="J55" i="12"/>
  <c r="U74" i="4" s="1"/>
  <c r="J53" i="12"/>
  <c r="U72" i="4" s="1"/>
  <c r="J52" i="12"/>
  <c r="H71" i="4" s="1"/>
  <c r="J49" i="12"/>
  <c r="U68" i="4" s="1"/>
  <c r="J48" i="12"/>
  <c r="U67" i="4" s="1"/>
  <c r="J47" i="12"/>
  <c r="U66" i="4" s="1"/>
  <c r="J45" i="12"/>
  <c r="U64" i="4" s="1"/>
  <c r="J42" i="12"/>
  <c r="Q55" i="4" s="1"/>
  <c r="F55" i="4" s="1"/>
  <c r="E363" i="16" s="1"/>
  <c r="J41" i="12"/>
  <c r="Q54" i="4" s="1"/>
  <c r="F54" i="4" s="1"/>
  <c r="E362" i="16" s="1"/>
  <c r="J40" i="12"/>
  <c r="Q53" i="4" s="1"/>
  <c r="J38" i="12"/>
  <c r="Q51" i="4" s="1"/>
  <c r="J37" i="12"/>
  <c r="J35" i="12"/>
  <c r="N40" i="4" s="1"/>
  <c r="J34" i="12"/>
  <c r="O39" i="4" s="1"/>
  <c r="J33" i="12"/>
  <c r="J32" i="12"/>
  <c r="P48" i="4" s="1"/>
  <c r="J31" i="12"/>
  <c r="P47" i="4" s="1"/>
  <c r="J30" i="12"/>
  <c r="P46" i="4" s="1"/>
  <c r="J29" i="12"/>
  <c r="P45" i="4" s="1"/>
  <c r="J26" i="12"/>
  <c r="J33" i="4" s="1"/>
  <c r="J25" i="12"/>
  <c r="J32" i="4" s="1"/>
  <c r="J23" i="12"/>
  <c r="J30" i="4" s="1"/>
  <c r="J22" i="12"/>
  <c r="J29" i="4" s="1"/>
  <c r="J20" i="12"/>
  <c r="K25" i="4" s="1"/>
  <c r="J19" i="12"/>
  <c r="J18" i="12"/>
  <c r="J16" i="12"/>
  <c r="I21" i="4" s="1"/>
  <c r="J13" i="12"/>
  <c r="I16" i="4" s="1"/>
  <c r="J12" i="12"/>
  <c r="I15" i="4" s="1"/>
  <c r="J11" i="12"/>
  <c r="I14" i="4" s="1"/>
  <c r="J10" i="12"/>
  <c r="H11" i="4" s="1"/>
  <c r="J9" i="12"/>
  <c r="H10" i="4" s="1"/>
  <c r="O38" i="4" l="1"/>
  <c r="K23" i="4"/>
  <c r="B19" i="25"/>
  <c r="K24" i="4"/>
  <c r="B22" i="25"/>
  <c r="T61" i="4"/>
  <c r="B16" i="25"/>
  <c r="R58" i="4"/>
  <c r="B13" i="25"/>
  <c r="N362" i="16"/>
  <c r="J362" i="16"/>
  <c r="Q362" i="16"/>
  <c r="M362" i="16"/>
  <c r="I362" i="16"/>
  <c r="P362" i="16"/>
  <c r="L362" i="16"/>
  <c r="H362" i="16"/>
  <c r="O362" i="16"/>
  <c r="K362" i="16"/>
  <c r="J15" i="12"/>
  <c r="I18" i="4" s="1"/>
  <c r="J21" i="12"/>
  <c r="J28" i="4" s="1"/>
  <c r="J28" i="12"/>
  <c r="M37" i="4" s="1"/>
  <c r="J36" i="12"/>
  <c r="N41" i="4" s="1"/>
  <c r="J44" i="12"/>
  <c r="M42" i="4" s="1"/>
  <c r="J51" i="12"/>
  <c r="U70" i="4" s="1"/>
  <c r="J59" i="12"/>
  <c r="U78" i="4" s="1"/>
  <c r="J67" i="12"/>
  <c r="U86" i="4" s="1"/>
  <c r="F16" i="25" l="1"/>
  <c r="G16" i="25"/>
  <c r="I16" i="25"/>
  <c r="H16" i="25"/>
  <c r="C16" i="25"/>
  <c r="E16" i="25"/>
  <c r="D16" i="25"/>
  <c r="B10" i="25"/>
  <c r="R362" i="16"/>
  <c r="S362" i="16" s="1"/>
  <c r="F118" i="4"/>
  <c r="S94" i="4" l="1"/>
  <c r="N249" i="4" l="1"/>
  <c r="L94" i="4"/>
  <c r="O94" i="4"/>
  <c r="N94" i="4"/>
  <c r="L249" i="4"/>
  <c r="O249" i="4"/>
  <c r="F11" i="4"/>
  <c r="E319" i="16" s="1"/>
  <c r="K249" i="4"/>
  <c r="P249" i="4"/>
  <c r="M249" i="4"/>
  <c r="F164" i="4"/>
  <c r="E186" i="16" s="1"/>
  <c r="H249" i="4"/>
  <c r="I249" i="4"/>
  <c r="R249" i="4"/>
  <c r="U249" i="4"/>
  <c r="J249" i="4"/>
  <c r="Q249" i="4"/>
  <c r="T249" i="4"/>
  <c r="S249" i="4"/>
  <c r="F18" i="4"/>
  <c r="E326" i="16" s="1"/>
  <c r="F46" i="4"/>
  <c r="E354" i="16" s="1"/>
  <c r="F85" i="4"/>
  <c r="E393" i="16" s="1"/>
  <c r="F33" i="4"/>
  <c r="E341" i="16" s="1"/>
  <c r="F47" i="4"/>
  <c r="E355" i="16" s="1"/>
  <c r="F70" i="4"/>
  <c r="E378" i="16" s="1"/>
  <c r="F86" i="4"/>
  <c r="E394" i="16" s="1"/>
  <c r="F31" i="4"/>
  <c r="E339" i="16" s="1"/>
  <c r="F21" i="4"/>
  <c r="E329" i="16" s="1"/>
  <c r="F89" i="4"/>
  <c r="E397" i="16" s="1"/>
  <c r="F16" i="4"/>
  <c r="E324" i="16" s="1"/>
  <c r="F30" i="4"/>
  <c r="E338" i="16" s="1"/>
  <c r="F67" i="4"/>
  <c r="E375" i="16" s="1"/>
  <c r="F83" i="4"/>
  <c r="E391" i="16" s="1"/>
  <c r="F64" i="4"/>
  <c r="E372" i="16" s="1"/>
  <c r="F80" i="4"/>
  <c r="E388" i="16" s="1"/>
  <c r="F25" i="4"/>
  <c r="E333" i="16" s="1"/>
  <c r="F58" i="4"/>
  <c r="E366" i="16" s="1"/>
  <c r="F15" i="4"/>
  <c r="E323" i="16" s="1"/>
  <c r="F37" i="4"/>
  <c r="E345" i="16" s="1"/>
  <c r="F51" i="4"/>
  <c r="E359" i="16" s="1"/>
  <c r="F74" i="4"/>
  <c r="E382" i="16" s="1"/>
  <c r="F90" i="4"/>
  <c r="E398" i="16" s="1"/>
  <c r="F39" i="4"/>
  <c r="E347" i="16" s="1"/>
  <c r="F28" i="4"/>
  <c r="E336" i="16" s="1"/>
  <c r="F65" i="4"/>
  <c r="E373" i="16" s="1"/>
  <c r="F48" i="4"/>
  <c r="E356" i="16" s="1"/>
  <c r="F71" i="4"/>
  <c r="E379" i="16" s="1"/>
  <c r="F87" i="4"/>
  <c r="E395" i="16" s="1"/>
  <c r="F68" i="4"/>
  <c r="E376" i="16" s="1"/>
  <c r="F84" i="4"/>
  <c r="E392" i="16" s="1"/>
  <c r="F10" i="4"/>
  <c r="E318" i="16" s="1"/>
  <c r="F42" i="4"/>
  <c r="E350" i="16" s="1"/>
  <c r="F32" i="4"/>
  <c r="E340" i="16" s="1"/>
  <c r="F69" i="4"/>
  <c r="E377" i="16" s="1"/>
  <c r="F22" i="4"/>
  <c r="E330" i="16" s="1"/>
  <c r="F41" i="4"/>
  <c r="E349" i="16" s="1"/>
  <c r="F78" i="4"/>
  <c r="E386" i="16" s="1"/>
  <c r="F17" i="4"/>
  <c r="E325" i="16" s="1"/>
  <c r="F45" i="4"/>
  <c r="E353" i="16" s="1"/>
  <c r="F36" i="4"/>
  <c r="E344" i="16" s="1"/>
  <c r="F73" i="4"/>
  <c r="E381" i="16" s="1"/>
  <c r="F23" i="4"/>
  <c r="E331" i="16" s="1"/>
  <c r="F38" i="4"/>
  <c r="E346" i="16" s="1"/>
  <c r="F52" i="4"/>
  <c r="E360" i="16" s="1"/>
  <c r="F75" i="4"/>
  <c r="E383" i="16" s="1"/>
  <c r="F91" i="4"/>
  <c r="E399" i="16" s="1"/>
  <c r="F72" i="4"/>
  <c r="E380" i="16" s="1"/>
  <c r="F88" i="4"/>
  <c r="E396" i="16" s="1"/>
  <c r="F40" i="4"/>
  <c r="E348" i="16" s="1"/>
  <c r="F77" i="4"/>
  <c r="E385" i="16" s="1"/>
  <c r="F29" i="4"/>
  <c r="E337" i="16" s="1"/>
  <c r="F66" i="4"/>
  <c r="E374" i="16" s="1"/>
  <c r="F82" i="4"/>
  <c r="E390" i="16" s="1"/>
  <c r="F24" i="4"/>
  <c r="E332" i="16" s="1"/>
  <c r="F14" i="4"/>
  <c r="E322" i="16" s="1"/>
  <c r="F81" i="4"/>
  <c r="E389" i="16" s="1"/>
  <c r="F9" i="4"/>
  <c r="E317" i="16" s="1"/>
  <c r="F61" i="4"/>
  <c r="E369" i="16" s="1"/>
  <c r="F79" i="4"/>
  <c r="E387" i="16" s="1"/>
  <c r="F53" i="4"/>
  <c r="E361" i="16" s="1"/>
  <c r="F76" i="4"/>
  <c r="E384" i="16" s="1"/>
  <c r="U94" i="4"/>
  <c r="H94" i="4"/>
  <c r="R94" i="4"/>
  <c r="T94" i="4"/>
  <c r="M94" i="4"/>
  <c r="Q94" i="4"/>
  <c r="K94" i="4"/>
  <c r="I94" i="4"/>
  <c r="J94" i="4"/>
  <c r="P94" i="4"/>
  <c r="E461" i="16" l="1"/>
  <c r="N360" i="16"/>
  <c r="J360" i="16"/>
  <c r="H360" i="16"/>
  <c r="Q360" i="16"/>
  <c r="M360" i="16"/>
  <c r="P360" i="16"/>
  <c r="L360" i="16"/>
  <c r="O360" i="16"/>
  <c r="K360" i="16"/>
  <c r="I360" i="16"/>
  <c r="Q363" i="16"/>
  <c r="M363" i="16"/>
  <c r="I363" i="16"/>
  <c r="H363" i="16"/>
  <c r="O363" i="16"/>
  <c r="K363" i="16"/>
  <c r="N363" i="16"/>
  <c r="J363" i="16"/>
  <c r="P363" i="16"/>
  <c r="L363" i="16"/>
  <c r="O361" i="16"/>
  <c r="K361" i="16"/>
  <c r="N361" i="16"/>
  <c r="J361" i="16"/>
  <c r="Q361" i="16"/>
  <c r="M361" i="16"/>
  <c r="I361" i="16"/>
  <c r="P361" i="16"/>
  <c r="H361" i="16"/>
  <c r="L361" i="16"/>
  <c r="F249" i="4"/>
  <c r="F254" i="4" s="1"/>
  <c r="F264" i="4" s="1"/>
  <c r="E401" i="16"/>
  <c r="F94" i="4"/>
  <c r="I192" i="16"/>
  <c r="H8" i="16"/>
  <c r="Q355" i="16"/>
  <c r="O355" i="16"/>
  <c r="J355" i="16"/>
  <c r="L355" i="16"/>
  <c r="M355" i="16"/>
  <c r="K355" i="16"/>
  <c r="P355" i="16"/>
  <c r="I355" i="16"/>
  <c r="N355" i="16"/>
  <c r="H355" i="16"/>
  <c r="N216" i="16"/>
  <c r="Q216" i="16"/>
  <c r="M216" i="16"/>
  <c r="O216" i="16"/>
  <c r="P216" i="16"/>
  <c r="I216" i="16"/>
  <c r="K216" i="16"/>
  <c r="H216" i="16"/>
  <c r="J216" i="16"/>
  <c r="L216" i="16"/>
  <c r="Q219" i="16"/>
  <c r="L219" i="16"/>
  <c r="I219" i="16"/>
  <c r="K219" i="16"/>
  <c r="N219" i="16"/>
  <c r="J219" i="16"/>
  <c r="M219" i="16"/>
  <c r="H219" i="16"/>
  <c r="O219" i="16"/>
  <c r="P219" i="16"/>
  <c r="H215" i="16"/>
  <c r="N215" i="16"/>
  <c r="M215" i="16"/>
  <c r="Q215" i="16"/>
  <c r="L215" i="16"/>
  <c r="K215" i="16"/>
  <c r="P215" i="16"/>
  <c r="I215" i="16"/>
  <c r="O215" i="16"/>
  <c r="J215" i="16"/>
  <c r="H210" i="16"/>
  <c r="L210" i="16"/>
  <c r="P210" i="16"/>
  <c r="K210" i="16"/>
  <c r="O210" i="16"/>
  <c r="N210" i="16"/>
  <c r="Q210" i="16"/>
  <c r="I210" i="16"/>
  <c r="M210" i="16"/>
  <c r="J210" i="16"/>
  <c r="N202" i="16"/>
  <c r="P202" i="16"/>
  <c r="H202" i="16"/>
  <c r="K202" i="16"/>
  <c r="I202" i="16"/>
  <c r="L202" i="16"/>
  <c r="O202" i="16"/>
  <c r="Q202" i="16"/>
  <c r="M202" i="16"/>
  <c r="J202" i="16"/>
  <c r="P205" i="16"/>
  <c r="H205" i="16"/>
  <c r="K205" i="16"/>
  <c r="I205" i="16"/>
  <c r="L205" i="16"/>
  <c r="N205" i="16"/>
  <c r="M205" i="16"/>
  <c r="O205" i="16"/>
  <c r="J205" i="16"/>
  <c r="Q205" i="16"/>
  <c r="O369" i="16"/>
  <c r="Q369" i="16"/>
  <c r="H369" i="16"/>
  <c r="L369" i="16"/>
  <c r="K369" i="16"/>
  <c r="N369" i="16"/>
  <c r="P369" i="16"/>
  <c r="I369" i="16"/>
  <c r="J369" i="16"/>
  <c r="M369" i="16"/>
  <c r="J356" i="16"/>
  <c r="H356" i="16"/>
  <c r="K356" i="16"/>
  <c r="L356" i="16"/>
  <c r="I356" i="16"/>
  <c r="P356" i="16"/>
  <c r="Q356" i="16"/>
  <c r="N356" i="16"/>
  <c r="O356" i="16"/>
  <c r="M356" i="16"/>
  <c r="L366" i="16"/>
  <c r="M366" i="16"/>
  <c r="H366" i="16"/>
  <c r="O366" i="16"/>
  <c r="P366" i="16"/>
  <c r="N366" i="16"/>
  <c r="I366" i="16"/>
  <c r="Q366" i="16"/>
  <c r="J366" i="16"/>
  <c r="K366" i="16"/>
  <c r="P206" i="16"/>
  <c r="Q206" i="16"/>
  <c r="L206" i="16"/>
  <c r="I206" i="16"/>
  <c r="J206" i="16"/>
  <c r="H206" i="16"/>
  <c r="N206" i="16"/>
  <c r="K206" i="16"/>
  <c r="M206" i="16"/>
  <c r="O206" i="16"/>
  <c r="K199" i="16"/>
  <c r="N199" i="16"/>
  <c r="P199" i="16"/>
  <c r="L199" i="16"/>
  <c r="M199" i="16"/>
  <c r="H199" i="16"/>
  <c r="J199" i="16"/>
  <c r="Q199" i="16"/>
  <c r="O199" i="16"/>
  <c r="I199" i="16"/>
  <c r="J224" i="16"/>
  <c r="L224" i="16"/>
  <c r="O224" i="16"/>
  <c r="N224" i="16"/>
  <c r="K224" i="16"/>
  <c r="H224" i="16"/>
  <c r="M224" i="16"/>
  <c r="Q224" i="16"/>
  <c r="P224" i="16"/>
  <c r="I224" i="16"/>
  <c r="N213" i="16"/>
  <c r="O213" i="16"/>
  <c r="Q213" i="16"/>
  <c r="I213" i="16"/>
  <c r="K213" i="16"/>
  <c r="P213" i="16"/>
  <c r="M213" i="16"/>
  <c r="L213" i="16"/>
  <c r="H213" i="16"/>
  <c r="J213" i="16"/>
  <c r="J228" i="16"/>
  <c r="K228" i="16"/>
  <c r="O228" i="16"/>
  <c r="P228" i="16"/>
  <c r="N228" i="16"/>
  <c r="I228" i="16"/>
  <c r="M228" i="16"/>
  <c r="Q228" i="16"/>
  <c r="L228" i="16"/>
  <c r="H228" i="16"/>
  <c r="N223" i="16"/>
  <c r="J223" i="16"/>
  <c r="M223" i="16"/>
  <c r="L223" i="16"/>
  <c r="P223" i="16"/>
  <c r="I223" i="16"/>
  <c r="K223" i="16"/>
  <c r="O223" i="16"/>
  <c r="H223" i="16"/>
  <c r="Q223" i="16"/>
  <c r="M350" i="16"/>
  <c r="J350" i="16"/>
  <c r="H350" i="16"/>
  <c r="I350" i="16"/>
  <c r="O350" i="16"/>
  <c r="L350" i="16"/>
  <c r="Q350" i="16"/>
  <c r="K350" i="16"/>
  <c r="N350" i="16"/>
  <c r="P350" i="16"/>
  <c r="N348" i="16"/>
  <c r="K348" i="16"/>
  <c r="L348" i="16"/>
  <c r="J348" i="16"/>
  <c r="H348" i="16"/>
  <c r="Q348" i="16"/>
  <c r="I348" i="16"/>
  <c r="O348" i="16"/>
  <c r="P348" i="16"/>
  <c r="M348" i="16"/>
  <c r="J346" i="16"/>
  <c r="Q346" i="16"/>
  <c r="I346" i="16"/>
  <c r="K346" i="16"/>
  <c r="P346" i="16"/>
  <c r="M346" i="16"/>
  <c r="L346" i="16"/>
  <c r="N346" i="16"/>
  <c r="O346" i="16"/>
  <c r="H346" i="16"/>
  <c r="N344" i="16"/>
  <c r="J344" i="16"/>
  <c r="L344" i="16"/>
  <c r="K344" i="16"/>
  <c r="I344" i="16"/>
  <c r="M344" i="16"/>
  <c r="O344" i="16"/>
  <c r="P344" i="16"/>
  <c r="H344" i="16"/>
  <c r="Q344" i="16"/>
  <c r="N359" i="16"/>
  <c r="I359" i="16"/>
  <c r="K359" i="16"/>
  <c r="M359" i="16"/>
  <c r="H359" i="16"/>
  <c r="Q359" i="16"/>
  <c r="J359" i="16"/>
  <c r="L359" i="16"/>
  <c r="O359" i="16"/>
  <c r="P359" i="16"/>
  <c r="P200" i="16"/>
  <c r="K200" i="16"/>
  <c r="O200" i="16"/>
  <c r="N200" i="16"/>
  <c r="L200" i="16"/>
  <c r="Q200" i="16"/>
  <c r="I200" i="16"/>
  <c r="M200" i="16"/>
  <c r="J200" i="16"/>
  <c r="H200" i="16"/>
  <c r="N201" i="16"/>
  <c r="P201" i="16"/>
  <c r="H201" i="16"/>
  <c r="M201" i="16"/>
  <c r="K201" i="16"/>
  <c r="I201" i="16"/>
  <c r="O201" i="16"/>
  <c r="Q201" i="16"/>
  <c r="J201" i="16"/>
  <c r="L201" i="16"/>
  <c r="P217" i="16"/>
  <c r="M217" i="16"/>
  <c r="K217" i="16"/>
  <c r="H217" i="16"/>
  <c r="L217" i="16"/>
  <c r="Q217" i="16"/>
  <c r="J217" i="16"/>
  <c r="O217" i="16"/>
  <c r="I217" i="16"/>
  <c r="N217" i="16"/>
  <c r="H222" i="16"/>
  <c r="K222" i="16"/>
  <c r="J222" i="16"/>
  <c r="O222" i="16"/>
  <c r="M222" i="16"/>
  <c r="N222" i="16"/>
  <c r="I222" i="16"/>
  <c r="P222" i="16"/>
  <c r="L222" i="16"/>
  <c r="Q222" i="16"/>
  <c r="H238" i="16"/>
  <c r="P238" i="16"/>
  <c r="O238" i="16"/>
  <c r="L238" i="16"/>
  <c r="K238" i="16"/>
  <c r="N238" i="16"/>
  <c r="I238" i="16"/>
  <c r="J238" i="16"/>
  <c r="M238" i="16"/>
  <c r="Q238" i="16"/>
  <c r="N191" i="16"/>
  <c r="O191" i="16"/>
  <c r="K191" i="16"/>
  <c r="L191" i="16"/>
  <c r="J191" i="16"/>
  <c r="H191" i="16"/>
  <c r="P191" i="16"/>
  <c r="I191" i="16"/>
  <c r="M191" i="16"/>
  <c r="Q191" i="16"/>
  <c r="H208" i="16"/>
  <c r="P208" i="16"/>
  <c r="J208" i="16"/>
  <c r="O208" i="16"/>
  <c r="L208" i="16"/>
  <c r="N208" i="16"/>
  <c r="K208" i="16"/>
  <c r="I208" i="16"/>
  <c r="M208" i="16"/>
  <c r="Q208" i="16"/>
  <c r="P193" i="16"/>
  <c r="K193" i="16"/>
  <c r="H193" i="16"/>
  <c r="I193" i="16"/>
  <c r="L193" i="16"/>
  <c r="N193" i="16"/>
  <c r="M193" i="16"/>
  <c r="O193" i="16"/>
  <c r="J193" i="16"/>
  <c r="Q193" i="16"/>
  <c r="H198" i="16"/>
  <c r="N198" i="16"/>
  <c r="K198" i="16"/>
  <c r="P198" i="16"/>
  <c r="J198" i="16"/>
  <c r="O198" i="16"/>
  <c r="L198" i="16"/>
  <c r="M198" i="16"/>
  <c r="I198" i="16"/>
  <c r="Q198" i="16"/>
  <c r="Q214" i="16"/>
  <c r="I214" i="16"/>
  <c r="L214" i="16"/>
  <c r="J214" i="16"/>
  <c r="N214" i="16"/>
  <c r="O214" i="16"/>
  <c r="K214" i="16"/>
  <c r="P214" i="16"/>
  <c r="M214" i="16"/>
  <c r="H214" i="16"/>
  <c r="Q207" i="16"/>
  <c r="L207" i="16"/>
  <c r="O207" i="16"/>
  <c r="I207" i="16"/>
  <c r="K207" i="16"/>
  <c r="H207" i="16"/>
  <c r="M207" i="16"/>
  <c r="P207" i="16"/>
  <c r="J207" i="16"/>
  <c r="N207" i="16"/>
  <c r="Q353" i="16"/>
  <c r="L353" i="16"/>
  <c r="P353" i="16"/>
  <c r="N353" i="16"/>
  <c r="H353" i="16"/>
  <c r="I353" i="16"/>
  <c r="J353" i="16"/>
  <c r="M353" i="16"/>
  <c r="O353" i="16"/>
  <c r="K353" i="16"/>
  <c r="O349" i="16"/>
  <c r="K349" i="16"/>
  <c r="I349" i="16"/>
  <c r="J349" i="16"/>
  <c r="M349" i="16"/>
  <c r="N349" i="16"/>
  <c r="P349" i="16"/>
  <c r="H349" i="16"/>
  <c r="L349" i="16"/>
  <c r="Q349" i="16"/>
  <c r="I347" i="16"/>
  <c r="J347" i="16"/>
  <c r="L347" i="16"/>
  <c r="K347" i="16"/>
  <c r="M347" i="16"/>
  <c r="N347" i="16"/>
  <c r="O347" i="16"/>
  <c r="H347" i="16"/>
  <c r="P347" i="16"/>
  <c r="Q347" i="16"/>
  <c r="N345" i="16"/>
  <c r="K345" i="16"/>
  <c r="J345" i="16"/>
  <c r="I345" i="16"/>
  <c r="P345" i="16"/>
  <c r="Q345" i="16"/>
  <c r="L345" i="16"/>
  <c r="M345" i="16"/>
  <c r="H345" i="16"/>
  <c r="O345" i="16"/>
  <c r="N354" i="16"/>
  <c r="H354" i="16"/>
  <c r="L354" i="16"/>
  <c r="Q354" i="16"/>
  <c r="I354" i="16"/>
  <c r="J354" i="16"/>
  <c r="M354" i="16"/>
  <c r="K354" i="16"/>
  <c r="O354" i="16"/>
  <c r="P354" i="16"/>
  <c r="P231" i="16"/>
  <c r="K231" i="16"/>
  <c r="N231" i="16"/>
  <c r="H231" i="16"/>
  <c r="M231" i="16"/>
  <c r="I231" i="16"/>
  <c r="Q231" i="16"/>
  <c r="L231" i="16"/>
  <c r="J231" i="16"/>
  <c r="O231" i="16"/>
  <c r="O235" i="16"/>
  <c r="H235" i="16"/>
  <c r="Q235" i="16"/>
  <c r="L235" i="16"/>
  <c r="P235" i="16"/>
  <c r="K235" i="16"/>
  <c r="N235" i="16"/>
  <c r="I235" i="16"/>
  <c r="J235" i="16"/>
  <c r="M235" i="16"/>
  <c r="I209" i="16"/>
  <c r="Q209" i="16"/>
  <c r="J209" i="16"/>
  <c r="N209" i="16"/>
  <c r="M209" i="16"/>
  <c r="L209" i="16"/>
  <c r="O209" i="16"/>
  <c r="K209" i="16"/>
  <c r="P209" i="16"/>
  <c r="H209" i="16"/>
  <c r="I218" i="16"/>
  <c r="M218" i="16"/>
  <c r="Q218" i="16"/>
  <c r="J218" i="16"/>
  <c r="H218" i="16"/>
  <c r="N218" i="16"/>
  <c r="P218" i="16"/>
  <c r="K218" i="16"/>
  <c r="L218" i="16"/>
  <c r="O218" i="16"/>
  <c r="N195" i="16"/>
  <c r="O195" i="16"/>
  <c r="K195" i="16"/>
  <c r="P195" i="16"/>
  <c r="L195" i="16"/>
  <c r="H195" i="16"/>
  <c r="I195" i="16"/>
  <c r="Q195" i="16"/>
  <c r="J195" i="16"/>
  <c r="M195" i="16"/>
  <c r="P194" i="16"/>
  <c r="H194" i="16"/>
  <c r="N194" i="16"/>
  <c r="L194" i="16"/>
  <c r="K194" i="16"/>
  <c r="I194" i="16"/>
  <c r="J194" i="16"/>
  <c r="O194" i="16"/>
  <c r="M194" i="16"/>
  <c r="Q194" i="16"/>
  <c r="M232" i="16"/>
  <c r="I232" i="16"/>
  <c r="H232" i="16"/>
  <c r="Q232" i="16"/>
  <c r="L232" i="16"/>
  <c r="O232" i="16"/>
  <c r="P232" i="16"/>
  <c r="J232" i="16"/>
  <c r="K232" i="16"/>
  <c r="N232" i="16"/>
  <c r="N225" i="16"/>
  <c r="K225" i="16"/>
  <c r="Q225" i="16"/>
  <c r="J225" i="16"/>
  <c r="H225" i="16"/>
  <c r="M225" i="16"/>
  <c r="O225" i="16"/>
  <c r="I225" i="16"/>
  <c r="L225" i="16"/>
  <c r="P225" i="16"/>
  <c r="N339" i="16"/>
  <c r="M339" i="16"/>
  <c r="J339" i="16"/>
  <c r="L339" i="16"/>
  <c r="O339" i="16"/>
  <c r="P339" i="16"/>
  <c r="I339" i="16"/>
  <c r="Q339" i="16"/>
  <c r="H339" i="16"/>
  <c r="K339" i="16"/>
  <c r="M340" i="16"/>
  <c r="H340" i="16"/>
  <c r="J340" i="16"/>
  <c r="N340" i="16"/>
  <c r="Q340" i="16"/>
  <c r="L340" i="16"/>
  <c r="O340" i="16"/>
  <c r="P340" i="16"/>
  <c r="K340" i="16"/>
  <c r="I340" i="16"/>
  <c r="J337" i="16"/>
  <c r="L337" i="16"/>
  <c r="N337" i="16"/>
  <c r="Q337" i="16"/>
  <c r="I337" i="16"/>
  <c r="K337" i="16"/>
  <c r="P337" i="16"/>
  <c r="H337" i="16"/>
  <c r="M337" i="16"/>
  <c r="O337" i="16"/>
  <c r="I325" i="16"/>
  <c r="M325" i="16"/>
  <c r="J325" i="16"/>
  <c r="N325" i="16"/>
  <c r="Q325" i="16"/>
  <c r="L325" i="16"/>
  <c r="H325" i="16"/>
  <c r="O325" i="16"/>
  <c r="K325" i="16"/>
  <c r="P325" i="16"/>
  <c r="K323" i="16"/>
  <c r="J323" i="16"/>
  <c r="N323" i="16"/>
  <c r="I323" i="16"/>
  <c r="Q323" i="16"/>
  <c r="H323" i="16"/>
  <c r="P323" i="16"/>
  <c r="O323" i="16"/>
  <c r="M323" i="16"/>
  <c r="L323" i="16"/>
  <c r="O338" i="16"/>
  <c r="I338" i="16"/>
  <c r="Q338" i="16"/>
  <c r="P338" i="16"/>
  <c r="H338" i="16"/>
  <c r="M338" i="16"/>
  <c r="J338" i="16"/>
  <c r="N338" i="16"/>
  <c r="L338" i="16"/>
  <c r="K338" i="16"/>
  <c r="H330" i="16"/>
  <c r="Q330" i="16"/>
  <c r="O330" i="16"/>
  <c r="I330" i="16"/>
  <c r="M330" i="16"/>
  <c r="P330" i="16"/>
  <c r="L330" i="16"/>
  <c r="N330" i="16"/>
  <c r="K330" i="16"/>
  <c r="J330" i="16"/>
  <c r="N326" i="16"/>
  <c r="P326" i="16"/>
  <c r="O326" i="16"/>
  <c r="J326" i="16"/>
  <c r="Q326" i="16"/>
  <c r="M326" i="16"/>
  <c r="I326" i="16"/>
  <c r="H326" i="16"/>
  <c r="L326" i="16"/>
  <c r="K326" i="16"/>
  <c r="J324" i="16"/>
  <c r="P324" i="16"/>
  <c r="H324" i="16"/>
  <c r="I324" i="16"/>
  <c r="O324" i="16"/>
  <c r="K324" i="16"/>
  <c r="Q324" i="16"/>
  <c r="N324" i="16"/>
  <c r="L324" i="16"/>
  <c r="M324" i="16"/>
  <c r="Q341" i="16"/>
  <c r="I341" i="16"/>
  <c r="P341" i="16"/>
  <c r="H341" i="16"/>
  <c r="O341" i="16"/>
  <c r="N341" i="16"/>
  <c r="M341" i="16"/>
  <c r="L341" i="16"/>
  <c r="K341" i="16"/>
  <c r="J341" i="16"/>
  <c r="O332" i="16"/>
  <c r="I332" i="16"/>
  <c r="N332" i="16"/>
  <c r="M332" i="16"/>
  <c r="Q332" i="16"/>
  <c r="H332" i="16"/>
  <c r="P332" i="16"/>
  <c r="J332" i="16"/>
  <c r="L332" i="16"/>
  <c r="K332" i="16"/>
  <c r="L329" i="16"/>
  <c r="K329" i="16"/>
  <c r="M329" i="16"/>
  <c r="P329" i="16"/>
  <c r="J329" i="16"/>
  <c r="Q329" i="16"/>
  <c r="N329" i="16"/>
  <c r="O329" i="16"/>
  <c r="I329" i="16"/>
  <c r="H329" i="16"/>
  <c r="O336" i="16"/>
  <c r="Q336" i="16"/>
  <c r="M336" i="16"/>
  <c r="L336" i="16"/>
  <c r="P336" i="16"/>
  <c r="I336" i="16"/>
  <c r="H336" i="16"/>
  <c r="N336" i="16"/>
  <c r="K336" i="16"/>
  <c r="J336" i="16"/>
  <c r="I333" i="16"/>
  <c r="L333" i="16"/>
  <c r="J333" i="16"/>
  <c r="P333" i="16"/>
  <c r="N333" i="16"/>
  <c r="M333" i="16"/>
  <c r="Q333" i="16"/>
  <c r="O333" i="16"/>
  <c r="K333" i="16"/>
  <c r="H333" i="16"/>
  <c r="P322" i="16"/>
  <c r="L322" i="16"/>
  <c r="O322" i="16"/>
  <c r="M322" i="16"/>
  <c r="I322" i="16"/>
  <c r="K322" i="16"/>
  <c r="J322" i="16"/>
  <c r="N322" i="16"/>
  <c r="Q322" i="16"/>
  <c r="H322" i="16"/>
  <c r="K331" i="16"/>
  <c r="J331" i="16"/>
  <c r="M331" i="16"/>
  <c r="I331" i="16"/>
  <c r="Q331" i="16"/>
  <c r="L331" i="16"/>
  <c r="P331" i="16"/>
  <c r="H331" i="16"/>
  <c r="N331" i="16"/>
  <c r="O331" i="16"/>
  <c r="R360" i="16" l="1"/>
  <c r="S360" i="16" s="1"/>
  <c r="R363" i="16"/>
  <c r="S363" i="16" s="1"/>
  <c r="R361" i="16"/>
  <c r="S361" i="16" s="1"/>
  <c r="F100" i="4"/>
  <c r="F116" i="4" s="1"/>
  <c r="P192" i="16"/>
  <c r="E100" i="16"/>
  <c r="M192" i="16"/>
  <c r="E270" i="16"/>
  <c r="E274" i="16" s="1"/>
  <c r="O192" i="16"/>
  <c r="C46" i="20"/>
  <c r="H192" i="16"/>
  <c r="J192" i="16"/>
  <c r="L192" i="16"/>
  <c r="K192" i="16"/>
  <c r="Q192" i="16"/>
  <c r="N192" i="16"/>
  <c r="Q131" i="16"/>
  <c r="M131" i="16"/>
  <c r="I131" i="16"/>
  <c r="P131" i="16"/>
  <c r="L131" i="16"/>
  <c r="H131" i="16"/>
  <c r="O131" i="16"/>
  <c r="K131" i="16"/>
  <c r="N131" i="16"/>
  <c r="J131" i="16"/>
  <c r="E19" i="16"/>
  <c r="E15" i="16"/>
  <c r="E133" i="16"/>
  <c r="E135" i="16" s="1"/>
  <c r="L98" i="16"/>
  <c r="O98" i="16"/>
  <c r="Q98" i="16"/>
  <c r="H98" i="16"/>
  <c r="I98" i="16"/>
  <c r="M98" i="16"/>
  <c r="P98" i="16"/>
  <c r="J98" i="16"/>
  <c r="N98" i="16"/>
  <c r="K98" i="16"/>
  <c r="F149" i="4"/>
  <c r="E177" i="16"/>
  <c r="I45" i="16"/>
  <c r="P45" i="16"/>
  <c r="L45" i="16"/>
  <c r="K45" i="16"/>
  <c r="Q45" i="16"/>
  <c r="M45" i="16"/>
  <c r="H45" i="16"/>
  <c r="O45" i="16"/>
  <c r="J45" i="16"/>
  <c r="N45" i="16"/>
  <c r="J30" i="16"/>
  <c r="N30" i="16"/>
  <c r="M30" i="16"/>
  <c r="H30" i="16"/>
  <c r="I30" i="16"/>
  <c r="K30" i="16"/>
  <c r="Q30" i="16"/>
  <c r="P30" i="16"/>
  <c r="O30" i="16"/>
  <c r="L30" i="16"/>
  <c r="M145" i="16"/>
  <c r="N145" i="16"/>
  <c r="H145" i="16"/>
  <c r="J145" i="16"/>
  <c r="P145" i="16"/>
  <c r="L145" i="16"/>
  <c r="I145" i="16"/>
  <c r="O145" i="16"/>
  <c r="Q145" i="16"/>
  <c r="K145" i="16"/>
  <c r="O139" i="16"/>
  <c r="J139" i="16"/>
  <c r="Q139" i="16"/>
  <c r="K139" i="16"/>
  <c r="L139" i="16"/>
  <c r="P139" i="16"/>
  <c r="I139" i="16"/>
  <c r="M139" i="16"/>
  <c r="N139" i="16"/>
  <c r="H139" i="16"/>
  <c r="L18" i="16"/>
  <c r="N18" i="16"/>
  <c r="H18" i="16"/>
  <c r="O18" i="16"/>
  <c r="P18" i="16"/>
  <c r="J18" i="16"/>
  <c r="M18" i="16"/>
  <c r="Q18" i="16"/>
  <c r="I18" i="16"/>
  <c r="K18" i="16"/>
  <c r="H49" i="16"/>
  <c r="L49" i="16"/>
  <c r="K49" i="16"/>
  <c r="P49" i="16"/>
  <c r="Q49" i="16"/>
  <c r="I49" i="16"/>
  <c r="O49" i="16"/>
  <c r="N49" i="16"/>
  <c r="J49" i="16"/>
  <c r="M49" i="16"/>
  <c r="O26" i="16"/>
  <c r="N26" i="16"/>
  <c r="J26" i="16"/>
  <c r="I26" i="16"/>
  <c r="L26" i="16"/>
  <c r="H26" i="16"/>
  <c r="P26" i="16"/>
  <c r="Q26" i="16"/>
  <c r="K26" i="16"/>
  <c r="M26" i="16"/>
  <c r="M13" i="16"/>
  <c r="H13" i="16"/>
  <c r="J13" i="16"/>
  <c r="N13" i="16"/>
  <c r="L13" i="16"/>
  <c r="P13" i="16"/>
  <c r="Q13" i="16"/>
  <c r="O13" i="16"/>
  <c r="K13" i="16"/>
  <c r="I13" i="16"/>
  <c r="Q47" i="16"/>
  <c r="I47" i="16"/>
  <c r="K47" i="16"/>
  <c r="J47" i="16"/>
  <c r="O47" i="16"/>
  <c r="N47" i="16"/>
  <c r="M47" i="16"/>
  <c r="H47" i="16"/>
  <c r="P47" i="16"/>
  <c r="L47" i="16"/>
  <c r="M86" i="16"/>
  <c r="I86" i="16"/>
  <c r="J86" i="16"/>
  <c r="N86" i="16"/>
  <c r="Q86" i="16"/>
  <c r="H86" i="16"/>
  <c r="P86" i="16"/>
  <c r="L86" i="16"/>
  <c r="O86" i="16"/>
  <c r="K86" i="16"/>
  <c r="Q107" i="16"/>
  <c r="P107" i="16"/>
  <c r="H107" i="16"/>
  <c r="I107" i="16"/>
  <c r="K107" i="16"/>
  <c r="L107" i="16"/>
  <c r="O107" i="16"/>
  <c r="J107" i="16"/>
  <c r="M107" i="16"/>
  <c r="N107" i="16"/>
  <c r="J14" i="16"/>
  <c r="P14" i="16"/>
  <c r="O14" i="16"/>
  <c r="K14" i="16"/>
  <c r="I14" i="16"/>
  <c r="N14" i="16"/>
  <c r="Q14" i="16"/>
  <c r="L14" i="16"/>
  <c r="H14" i="16"/>
  <c r="M14" i="16"/>
  <c r="I138" i="16"/>
  <c r="M138" i="16"/>
  <c r="P138" i="16"/>
  <c r="J138" i="16"/>
  <c r="N138" i="16"/>
  <c r="H138" i="16"/>
  <c r="O138" i="16"/>
  <c r="Q138" i="16"/>
  <c r="L138" i="16"/>
  <c r="K138" i="16"/>
  <c r="L123" i="16"/>
  <c r="I123" i="16"/>
  <c r="E125" i="16"/>
  <c r="M123" i="16"/>
  <c r="H123" i="16"/>
  <c r="Q123" i="16"/>
  <c r="J123" i="16"/>
  <c r="N123" i="16"/>
  <c r="P123" i="16"/>
  <c r="K123" i="16"/>
  <c r="O123" i="16"/>
  <c r="L31" i="16"/>
  <c r="H31" i="16"/>
  <c r="O31" i="16"/>
  <c r="J31" i="16"/>
  <c r="M31" i="16"/>
  <c r="P31" i="16"/>
  <c r="K31" i="16"/>
  <c r="Q31" i="16"/>
  <c r="I31" i="16"/>
  <c r="N31" i="16"/>
  <c r="J25" i="16"/>
  <c r="M25" i="16"/>
  <c r="N25" i="16"/>
  <c r="P25" i="16"/>
  <c r="H25" i="16"/>
  <c r="K25" i="16"/>
  <c r="Q25" i="16"/>
  <c r="E32" i="16"/>
  <c r="I25" i="16"/>
  <c r="O25" i="16"/>
  <c r="L25" i="16"/>
  <c r="P94" i="16"/>
  <c r="M94" i="16"/>
  <c r="K94" i="16"/>
  <c r="I94" i="16"/>
  <c r="N94" i="16"/>
  <c r="H94" i="16"/>
  <c r="L94" i="16"/>
  <c r="O94" i="16"/>
  <c r="J94" i="16"/>
  <c r="Q94" i="16"/>
  <c r="P119" i="16"/>
  <c r="P120" i="16" s="1"/>
  <c r="Q119" i="16"/>
  <c r="Q120" i="16" s="1"/>
  <c r="J119" i="16"/>
  <c r="J120" i="16" s="1"/>
  <c r="H119" i="16"/>
  <c r="E120" i="16"/>
  <c r="M119" i="16"/>
  <c r="M120" i="16" s="1"/>
  <c r="I119" i="16"/>
  <c r="I120" i="16" s="1"/>
  <c r="N119" i="16"/>
  <c r="N120" i="16" s="1"/>
  <c r="O119" i="16"/>
  <c r="O120" i="16" s="1"/>
  <c r="L119" i="16"/>
  <c r="L120" i="16" s="1"/>
  <c r="K119" i="16"/>
  <c r="K120" i="16" s="1"/>
  <c r="I46" i="16"/>
  <c r="M46" i="16"/>
  <c r="O46" i="16"/>
  <c r="L46" i="16"/>
  <c r="P46" i="16"/>
  <c r="J46" i="16"/>
  <c r="Q46" i="16"/>
  <c r="H46" i="16"/>
  <c r="K46" i="16"/>
  <c r="N46" i="16"/>
  <c r="N54" i="16"/>
  <c r="O54" i="16"/>
  <c r="K54" i="16"/>
  <c r="I54" i="16"/>
  <c r="M54" i="16"/>
  <c r="Q54" i="16"/>
  <c r="J54" i="16"/>
  <c r="P54" i="16"/>
  <c r="E56" i="16"/>
  <c r="H54" i="16"/>
  <c r="L54" i="16"/>
  <c r="J142" i="16"/>
  <c r="N142" i="16"/>
  <c r="K142" i="16"/>
  <c r="H142" i="16"/>
  <c r="M142" i="16"/>
  <c r="P142" i="16"/>
  <c r="I142" i="16"/>
  <c r="L142" i="16"/>
  <c r="Q142" i="16"/>
  <c r="O142" i="16"/>
  <c r="J28" i="16"/>
  <c r="P28" i="16"/>
  <c r="H28" i="16"/>
  <c r="L28" i="16"/>
  <c r="O28" i="16"/>
  <c r="K28" i="16"/>
  <c r="I28" i="16"/>
  <c r="M28" i="16"/>
  <c r="N28" i="16"/>
  <c r="Q28" i="16"/>
  <c r="N43" i="16"/>
  <c r="O43" i="16"/>
  <c r="I43" i="16"/>
  <c r="J43" i="16"/>
  <c r="K43" i="16"/>
  <c r="M43" i="16"/>
  <c r="H43" i="16"/>
  <c r="Q43" i="16"/>
  <c r="E52" i="16"/>
  <c r="P43" i="16"/>
  <c r="L43" i="16"/>
  <c r="J17" i="16"/>
  <c r="K17" i="16"/>
  <c r="I17" i="16"/>
  <c r="H17" i="16"/>
  <c r="Q17" i="16"/>
  <c r="P17" i="16"/>
  <c r="M17" i="16"/>
  <c r="L17" i="16"/>
  <c r="N17" i="16"/>
  <c r="O17" i="16"/>
  <c r="N50" i="16"/>
  <c r="O50" i="16"/>
  <c r="P50" i="16"/>
  <c r="Q50" i="16"/>
  <c r="M50" i="16"/>
  <c r="H50" i="16"/>
  <c r="I50" i="16"/>
  <c r="J50" i="16"/>
  <c r="K50" i="16"/>
  <c r="L50" i="16"/>
  <c r="K111" i="16"/>
  <c r="L111" i="16"/>
  <c r="H111" i="16"/>
  <c r="I111" i="16"/>
  <c r="J111" i="16"/>
  <c r="M111" i="16"/>
  <c r="Q111" i="16"/>
  <c r="E113" i="16"/>
  <c r="N111" i="16"/>
  <c r="P111" i="16"/>
  <c r="O111" i="16"/>
  <c r="J51" i="16"/>
  <c r="Q51" i="16"/>
  <c r="I51" i="16"/>
  <c r="N51" i="16"/>
  <c r="L51" i="16"/>
  <c r="H51" i="16"/>
  <c r="O51" i="16"/>
  <c r="P51" i="16"/>
  <c r="K51" i="16"/>
  <c r="M51" i="16"/>
  <c r="N140" i="16"/>
  <c r="M140" i="16"/>
  <c r="J140" i="16"/>
  <c r="H140" i="16"/>
  <c r="P140" i="16"/>
  <c r="Q140" i="16"/>
  <c r="O140" i="16"/>
  <c r="I140" i="16"/>
  <c r="L140" i="16"/>
  <c r="K140" i="16"/>
  <c r="Q9" i="16"/>
  <c r="L9" i="16"/>
  <c r="P9" i="16"/>
  <c r="M9" i="16"/>
  <c r="O9" i="16"/>
  <c r="K9" i="16"/>
  <c r="N9" i="16"/>
  <c r="H9" i="16"/>
  <c r="J9" i="16"/>
  <c r="I9" i="16"/>
  <c r="E87" i="16"/>
  <c r="E89" i="16" s="1"/>
  <c r="Q35" i="16"/>
  <c r="P35" i="16"/>
  <c r="E37" i="16"/>
  <c r="I35" i="16"/>
  <c r="O35" i="16"/>
  <c r="H35" i="16"/>
  <c r="J35" i="16"/>
  <c r="L35" i="16"/>
  <c r="N35" i="16"/>
  <c r="K35" i="16"/>
  <c r="M35" i="16"/>
  <c r="K146" i="16"/>
  <c r="L146" i="16"/>
  <c r="H146" i="16"/>
  <c r="O146" i="16"/>
  <c r="P146" i="16"/>
  <c r="N146" i="16"/>
  <c r="I146" i="16"/>
  <c r="J146" i="16"/>
  <c r="Q146" i="16"/>
  <c r="M146" i="16"/>
  <c r="J106" i="16"/>
  <c r="K106" i="16"/>
  <c r="N106" i="16"/>
  <c r="L106" i="16"/>
  <c r="M106" i="16"/>
  <c r="Q106" i="16"/>
  <c r="P106" i="16"/>
  <c r="E108" i="16"/>
  <c r="H106" i="16"/>
  <c r="I106" i="16"/>
  <c r="O106" i="16"/>
  <c r="O143" i="16"/>
  <c r="I143" i="16"/>
  <c r="K143" i="16"/>
  <c r="Q143" i="16"/>
  <c r="P143" i="16"/>
  <c r="L143" i="16"/>
  <c r="M143" i="16"/>
  <c r="N143" i="16"/>
  <c r="H143" i="16"/>
  <c r="J143" i="16"/>
  <c r="Q29" i="16"/>
  <c r="K29" i="16"/>
  <c r="N29" i="16"/>
  <c r="P29" i="16"/>
  <c r="I29" i="16"/>
  <c r="H29" i="16"/>
  <c r="L29" i="16"/>
  <c r="J29" i="16"/>
  <c r="M29" i="16"/>
  <c r="O29" i="16"/>
  <c r="K93" i="16"/>
  <c r="I93" i="16"/>
  <c r="N93" i="16"/>
  <c r="H93" i="16"/>
  <c r="P93" i="16"/>
  <c r="O93" i="16"/>
  <c r="J93" i="16"/>
  <c r="M93" i="16"/>
  <c r="Q93" i="16"/>
  <c r="L93" i="16"/>
  <c r="J144" i="16"/>
  <c r="L144" i="16"/>
  <c r="Q144" i="16"/>
  <c r="M144" i="16"/>
  <c r="O144" i="16"/>
  <c r="H144" i="16"/>
  <c r="I144" i="16"/>
  <c r="N144" i="16"/>
  <c r="P144" i="16"/>
  <c r="K144" i="16"/>
  <c r="N44" i="16"/>
  <c r="I44" i="16"/>
  <c r="H44" i="16"/>
  <c r="M44" i="16"/>
  <c r="L44" i="16"/>
  <c r="K44" i="16"/>
  <c r="Q44" i="16"/>
  <c r="P44" i="16"/>
  <c r="J44" i="16"/>
  <c r="O44" i="16"/>
  <c r="M112" i="16"/>
  <c r="P112" i="16"/>
  <c r="Q112" i="16"/>
  <c r="L112" i="16"/>
  <c r="O112" i="16"/>
  <c r="K112" i="16"/>
  <c r="H112" i="16"/>
  <c r="I112" i="16"/>
  <c r="J112" i="16"/>
  <c r="N112" i="16"/>
  <c r="N132" i="16"/>
  <c r="O132" i="16"/>
  <c r="H132" i="16"/>
  <c r="I132" i="16"/>
  <c r="M132" i="16"/>
  <c r="P132" i="16"/>
  <c r="Q132" i="16"/>
  <c r="K132" i="16"/>
  <c r="L132" i="16"/>
  <c r="J132" i="16"/>
  <c r="E76" i="16"/>
  <c r="N8" i="16"/>
  <c r="I8" i="16"/>
  <c r="L8" i="16"/>
  <c r="K8" i="16"/>
  <c r="P8" i="16"/>
  <c r="Q8" i="16"/>
  <c r="J8" i="16"/>
  <c r="M8" i="16"/>
  <c r="O8" i="16"/>
  <c r="M141" i="16"/>
  <c r="O141" i="16"/>
  <c r="N141" i="16"/>
  <c r="P141" i="16"/>
  <c r="H141" i="16"/>
  <c r="L141" i="16"/>
  <c r="Q141" i="16"/>
  <c r="I141" i="16"/>
  <c r="K141" i="16"/>
  <c r="J141" i="16"/>
  <c r="I48" i="16"/>
  <c r="H48" i="16"/>
  <c r="L48" i="16"/>
  <c r="O48" i="16"/>
  <c r="J48" i="16"/>
  <c r="P48" i="16"/>
  <c r="K48" i="16"/>
  <c r="Q48" i="16"/>
  <c r="M48" i="16"/>
  <c r="N48" i="16"/>
  <c r="P12" i="16"/>
  <c r="L12" i="16"/>
  <c r="M12" i="16"/>
  <c r="H12" i="16"/>
  <c r="J12" i="16"/>
  <c r="N12" i="16"/>
  <c r="K12" i="16"/>
  <c r="I12" i="16"/>
  <c r="Q12" i="16"/>
  <c r="O12" i="16"/>
  <c r="N10" i="16"/>
  <c r="K10" i="16"/>
  <c r="O10" i="16"/>
  <c r="I10" i="16"/>
  <c r="M10" i="16"/>
  <c r="Q10" i="16"/>
  <c r="H10" i="16"/>
  <c r="L10" i="16"/>
  <c r="J10" i="16"/>
  <c r="P10" i="16"/>
  <c r="M124" i="16"/>
  <c r="H124" i="16"/>
  <c r="Q124" i="16"/>
  <c r="P124" i="16"/>
  <c r="N124" i="16"/>
  <c r="J124" i="16"/>
  <c r="K124" i="16"/>
  <c r="O124" i="16"/>
  <c r="I124" i="16"/>
  <c r="L124" i="16"/>
  <c r="K11" i="16"/>
  <c r="M11" i="16"/>
  <c r="Q11" i="16"/>
  <c r="L11" i="16"/>
  <c r="H11" i="16"/>
  <c r="N11" i="16"/>
  <c r="J11" i="16"/>
  <c r="P11" i="16"/>
  <c r="O11" i="16"/>
  <c r="I11" i="16"/>
  <c r="M99" i="16"/>
  <c r="P99" i="16"/>
  <c r="N99" i="16"/>
  <c r="I99" i="16"/>
  <c r="K99" i="16"/>
  <c r="O99" i="16"/>
  <c r="Q99" i="16"/>
  <c r="L99" i="16"/>
  <c r="H99" i="16"/>
  <c r="J99" i="16"/>
  <c r="K36" i="16"/>
  <c r="M36" i="16"/>
  <c r="N36" i="16"/>
  <c r="O36" i="16"/>
  <c r="H36" i="16"/>
  <c r="Q36" i="16"/>
  <c r="P36" i="16"/>
  <c r="J36" i="16"/>
  <c r="L36" i="16"/>
  <c r="I36" i="16"/>
  <c r="Q55" i="16"/>
  <c r="P55" i="16"/>
  <c r="O55" i="16"/>
  <c r="I55" i="16"/>
  <c r="M55" i="16"/>
  <c r="H55" i="16"/>
  <c r="K55" i="16"/>
  <c r="J55" i="16"/>
  <c r="L55" i="16"/>
  <c r="N55" i="16"/>
  <c r="E71" i="16"/>
  <c r="R347" i="16"/>
  <c r="S347" i="16" s="1"/>
  <c r="R194" i="16"/>
  <c r="S194" i="16" s="1"/>
  <c r="R209" i="16"/>
  <c r="S209" i="16" s="1"/>
  <c r="R349" i="16"/>
  <c r="S349" i="16" s="1"/>
  <c r="R214" i="16"/>
  <c r="S214" i="16" s="1"/>
  <c r="R217" i="16"/>
  <c r="S217" i="16" s="1"/>
  <c r="R346" i="16"/>
  <c r="S346" i="16" s="1"/>
  <c r="R228" i="16"/>
  <c r="S228" i="16" s="1"/>
  <c r="R224" i="16"/>
  <c r="S224" i="16" s="1"/>
  <c r="R206" i="16"/>
  <c r="S206" i="16" s="1"/>
  <c r="R356" i="16"/>
  <c r="S356" i="16" s="1"/>
  <c r="R205" i="16"/>
  <c r="S205" i="16" s="1"/>
  <c r="R355" i="16"/>
  <c r="S355" i="16" s="1"/>
  <c r="R218" i="16"/>
  <c r="S218" i="16" s="1"/>
  <c r="R353" i="16"/>
  <c r="S353" i="16" s="1"/>
  <c r="R222" i="16"/>
  <c r="S222" i="16" s="1"/>
  <c r="R359" i="16"/>
  <c r="S359" i="16" s="1"/>
  <c r="R348" i="16"/>
  <c r="S348" i="16" s="1"/>
  <c r="R350" i="16"/>
  <c r="S350" i="16" s="1"/>
  <c r="R366" i="16"/>
  <c r="S366" i="16" s="1"/>
  <c r="R202" i="16"/>
  <c r="S202" i="16" s="1"/>
  <c r="R210" i="16"/>
  <c r="S210" i="16" s="1"/>
  <c r="R215" i="16"/>
  <c r="S215" i="16" s="1"/>
  <c r="R225" i="16"/>
  <c r="S225" i="16" s="1"/>
  <c r="R195" i="16"/>
  <c r="S195" i="16" s="1"/>
  <c r="R235" i="16"/>
  <c r="S235" i="16" s="1"/>
  <c r="R231" i="16"/>
  <c r="S231" i="16" s="1"/>
  <c r="R354" i="16"/>
  <c r="S354" i="16" s="1"/>
  <c r="R207" i="16"/>
  <c r="S207" i="16" s="1"/>
  <c r="R191" i="16"/>
  <c r="S191" i="16" s="1"/>
  <c r="R200" i="16"/>
  <c r="S200" i="16" s="1"/>
  <c r="R199" i="16"/>
  <c r="S199" i="16" s="1"/>
  <c r="R219" i="16"/>
  <c r="S219" i="16" s="1"/>
  <c r="R216" i="16"/>
  <c r="S216" i="16" s="1"/>
  <c r="R232" i="16"/>
  <c r="S232" i="16" s="1"/>
  <c r="R345" i="16"/>
  <c r="S345" i="16" s="1"/>
  <c r="R198" i="16"/>
  <c r="S198" i="16" s="1"/>
  <c r="R193" i="16"/>
  <c r="S193" i="16" s="1"/>
  <c r="R208" i="16"/>
  <c r="S208" i="16" s="1"/>
  <c r="R238" i="16"/>
  <c r="S238" i="16" s="1"/>
  <c r="R201" i="16"/>
  <c r="S201" i="16" s="1"/>
  <c r="R344" i="16"/>
  <c r="S344" i="16" s="1"/>
  <c r="R223" i="16"/>
  <c r="S223" i="16" s="1"/>
  <c r="R213" i="16"/>
  <c r="S213" i="16" s="1"/>
  <c r="R369" i="16"/>
  <c r="S369" i="16" s="1"/>
  <c r="R329" i="16"/>
  <c r="S329" i="16" s="1"/>
  <c r="R331" i="16"/>
  <c r="S331" i="16" s="1"/>
  <c r="R322" i="16"/>
  <c r="R336" i="16"/>
  <c r="S336" i="16" s="1"/>
  <c r="R338" i="16"/>
  <c r="S338" i="16" s="1"/>
  <c r="R340" i="16"/>
  <c r="S340" i="16" s="1"/>
  <c r="R341" i="16"/>
  <c r="S341" i="16" s="1"/>
  <c r="R326" i="16"/>
  <c r="S326" i="16" s="1"/>
  <c r="R323" i="16"/>
  <c r="S323" i="16" s="1"/>
  <c r="R330" i="16"/>
  <c r="S330" i="16" s="1"/>
  <c r="R333" i="16"/>
  <c r="S333" i="16" s="1"/>
  <c r="R324" i="16"/>
  <c r="S324" i="16" s="1"/>
  <c r="R325" i="16"/>
  <c r="S325" i="16" s="1"/>
  <c r="R332" i="16"/>
  <c r="S332" i="16" s="1"/>
  <c r="R337" i="16"/>
  <c r="S337" i="16" s="1"/>
  <c r="R339" i="16"/>
  <c r="S339" i="16" s="1"/>
  <c r="O146" i="4"/>
  <c r="L146" i="4"/>
  <c r="N152" i="4"/>
  <c r="L152" i="4"/>
  <c r="N146" i="4"/>
  <c r="O152" i="4"/>
  <c r="H146" i="4"/>
  <c r="U152" i="4"/>
  <c r="Q146" i="4"/>
  <c r="M152" i="4"/>
  <c r="R152" i="4"/>
  <c r="Q152" i="4"/>
  <c r="P152" i="4"/>
  <c r="T146" i="4"/>
  <c r="K146" i="4"/>
  <c r="J146" i="4"/>
  <c r="J152" i="4"/>
  <c r="I152" i="4"/>
  <c r="P146" i="4"/>
  <c r="M146" i="4"/>
  <c r="I146" i="4"/>
  <c r="R146" i="4"/>
  <c r="S152" i="4"/>
  <c r="K152" i="4"/>
  <c r="H152" i="4"/>
  <c r="T152" i="4"/>
  <c r="F122" i="4"/>
  <c r="F150" i="4"/>
  <c r="Q467" i="16" l="1"/>
  <c r="K467" i="16"/>
  <c r="H467" i="16"/>
  <c r="C8" i="20" s="1"/>
  <c r="I467" i="16"/>
  <c r="C12" i="20" s="1"/>
  <c r="O467" i="16"/>
  <c r="P467" i="16"/>
  <c r="N467" i="16"/>
  <c r="M467" i="16"/>
  <c r="J467" i="16"/>
  <c r="C16" i="20" s="1"/>
  <c r="L467" i="16"/>
  <c r="I133" i="16"/>
  <c r="Q100" i="16"/>
  <c r="K100" i="16"/>
  <c r="O100" i="16"/>
  <c r="N100" i="16"/>
  <c r="L100" i="16"/>
  <c r="J100" i="16"/>
  <c r="P100" i="16"/>
  <c r="M100" i="16"/>
  <c r="I100" i="16"/>
  <c r="H100" i="16"/>
  <c r="E127" i="16"/>
  <c r="N133" i="16"/>
  <c r="J133" i="16"/>
  <c r="K133" i="16"/>
  <c r="R192" i="16"/>
  <c r="S192" i="16" s="1"/>
  <c r="Q133" i="16"/>
  <c r="M133" i="16"/>
  <c r="L133" i="16"/>
  <c r="H133" i="16"/>
  <c r="H135" i="16" s="1"/>
  <c r="O133" i="16"/>
  <c r="P133" i="16"/>
  <c r="R131" i="16"/>
  <c r="S131" i="16" s="1"/>
  <c r="E21" i="16"/>
  <c r="R98" i="16"/>
  <c r="L125" i="16"/>
  <c r="L127" i="16" s="1"/>
  <c r="M108" i="16"/>
  <c r="E58" i="16"/>
  <c r="E78" i="16"/>
  <c r="Q108" i="16"/>
  <c r="K108" i="16"/>
  <c r="E115" i="16"/>
  <c r="O108" i="16"/>
  <c r="P108" i="16"/>
  <c r="N108" i="16"/>
  <c r="L108" i="16"/>
  <c r="K113" i="16"/>
  <c r="R46" i="16"/>
  <c r="S46" i="16" s="1"/>
  <c r="R139" i="16"/>
  <c r="S139" i="16" s="1"/>
  <c r="I108" i="16"/>
  <c r="R45" i="16"/>
  <c r="S45" i="16" s="1"/>
  <c r="R124" i="16"/>
  <c r="S124" i="16" s="1"/>
  <c r="S125" i="16" s="1"/>
  <c r="J15" i="16"/>
  <c r="L15" i="16"/>
  <c r="N15" i="16"/>
  <c r="N37" i="16"/>
  <c r="O37" i="16"/>
  <c r="Q37" i="16"/>
  <c r="R9" i="16"/>
  <c r="S9" i="16" s="1"/>
  <c r="R140" i="16"/>
  <c r="S140" i="16" s="1"/>
  <c r="R51" i="16"/>
  <c r="S51" i="16" s="1"/>
  <c r="N113" i="16"/>
  <c r="J113" i="16"/>
  <c r="L19" i="16"/>
  <c r="H19" i="16"/>
  <c r="R17" i="16"/>
  <c r="L52" i="16"/>
  <c r="H52" i="16"/>
  <c r="R43" i="16"/>
  <c r="I52" i="16"/>
  <c r="P56" i="16"/>
  <c r="I56" i="16"/>
  <c r="E39" i="16"/>
  <c r="P32" i="16"/>
  <c r="R31" i="16"/>
  <c r="S31" i="16" s="1"/>
  <c r="P125" i="16"/>
  <c r="P127" i="16" s="1"/>
  <c r="H125" i="16"/>
  <c r="R123" i="16"/>
  <c r="J108" i="16"/>
  <c r="R86" i="16"/>
  <c r="S86" i="16" s="1"/>
  <c r="R47" i="16"/>
  <c r="S47" i="16" s="1"/>
  <c r="R13" i="16"/>
  <c r="S13" i="16" s="1"/>
  <c r="R30" i="16"/>
  <c r="S30" i="16" s="1"/>
  <c r="R55" i="16"/>
  <c r="S55" i="16" s="1"/>
  <c r="R11" i="16"/>
  <c r="S11" i="16" s="1"/>
  <c r="R10" i="16"/>
  <c r="O15" i="16"/>
  <c r="Q15" i="16"/>
  <c r="I15" i="16"/>
  <c r="R112" i="16"/>
  <c r="S112" i="16" s="1"/>
  <c r="S113" i="16" s="1"/>
  <c r="R144" i="16"/>
  <c r="S144" i="16" s="1"/>
  <c r="R93" i="16"/>
  <c r="R143" i="16"/>
  <c r="S143" i="16" s="1"/>
  <c r="L37" i="16"/>
  <c r="I37" i="16"/>
  <c r="I113" i="16"/>
  <c r="R50" i="16"/>
  <c r="S50" i="16" s="1"/>
  <c r="O19" i="16"/>
  <c r="M19" i="16"/>
  <c r="I19" i="16"/>
  <c r="P52" i="16"/>
  <c r="M52" i="16"/>
  <c r="O52" i="16"/>
  <c r="L56" i="16"/>
  <c r="J56" i="16"/>
  <c r="K56" i="16"/>
  <c r="L32" i="16"/>
  <c r="Q32" i="16"/>
  <c r="N32" i="16"/>
  <c r="N125" i="16"/>
  <c r="N127" i="16" s="1"/>
  <c r="M125" i="16"/>
  <c r="M127" i="16" s="1"/>
  <c r="R138" i="16"/>
  <c r="R14" i="16"/>
  <c r="S14" i="16" s="1"/>
  <c r="R107" i="16"/>
  <c r="S107" i="16" s="1"/>
  <c r="R49" i="16"/>
  <c r="S49" i="16" s="1"/>
  <c r="R36" i="16"/>
  <c r="S36" i="16" s="1"/>
  <c r="R99" i="16"/>
  <c r="R12" i="16"/>
  <c r="S12" i="16" s="1"/>
  <c r="R48" i="16"/>
  <c r="S48" i="16" s="1"/>
  <c r="P15" i="16"/>
  <c r="H15" i="16"/>
  <c r="R8" i="16"/>
  <c r="R132" i="16"/>
  <c r="R29" i="16"/>
  <c r="S29" i="16" s="1"/>
  <c r="H108" i="16"/>
  <c r="R106" i="16"/>
  <c r="R146" i="16"/>
  <c r="S146" i="16" s="1"/>
  <c r="M37" i="16"/>
  <c r="J37" i="16"/>
  <c r="O113" i="16"/>
  <c r="Q113" i="16"/>
  <c r="R111" i="16"/>
  <c r="H113" i="16"/>
  <c r="P19" i="16"/>
  <c r="K19" i="16"/>
  <c r="K52" i="16"/>
  <c r="N52" i="16"/>
  <c r="R28" i="16"/>
  <c r="S28" i="16" s="1"/>
  <c r="H56" i="16"/>
  <c r="R54" i="16"/>
  <c r="Q56" i="16"/>
  <c r="O56" i="16"/>
  <c r="O32" i="16"/>
  <c r="K32" i="16"/>
  <c r="M32" i="16"/>
  <c r="O125" i="16"/>
  <c r="O127" i="16" s="1"/>
  <c r="J125" i="16"/>
  <c r="J127" i="16" s="1"/>
  <c r="R26" i="16"/>
  <c r="S26" i="16" s="1"/>
  <c r="R141" i="16"/>
  <c r="S141" i="16" s="1"/>
  <c r="M15" i="16"/>
  <c r="K15" i="16"/>
  <c r="R44" i="16"/>
  <c r="S44" i="16" s="1"/>
  <c r="K37" i="16"/>
  <c r="H37" i="16"/>
  <c r="R35" i="16"/>
  <c r="P37" i="16"/>
  <c r="P113" i="16"/>
  <c r="M113" i="16"/>
  <c r="L113" i="16"/>
  <c r="N19" i="16"/>
  <c r="Q19" i="16"/>
  <c r="J19" i="16"/>
  <c r="Q52" i="16"/>
  <c r="J52" i="16"/>
  <c r="R142" i="16"/>
  <c r="S142" i="16" s="1"/>
  <c r="M56" i="16"/>
  <c r="N56" i="16"/>
  <c r="H120" i="16"/>
  <c r="R119" i="16"/>
  <c r="R94" i="16"/>
  <c r="S94" i="16" s="1"/>
  <c r="I32" i="16"/>
  <c r="H32" i="16"/>
  <c r="R25" i="16"/>
  <c r="J32" i="16"/>
  <c r="K125" i="16"/>
  <c r="K127" i="16" s="1"/>
  <c r="Q125" i="16"/>
  <c r="Q127" i="16" s="1"/>
  <c r="I125" i="16"/>
  <c r="I127" i="16" s="1"/>
  <c r="R18" i="16"/>
  <c r="S18" i="16" s="1"/>
  <c r="R145" i="16"/>
  <c r="S145" i="16" s="1"/>
  <c r="S322" i="16"/>
  <c r="N155" i="4"/>
  <c r="L155" i="4"/>
  <c r="O155" i="4"/>
  <c r="Q155" i="4"/>
  <c r="P155" i="4"/>
  <c r="T155" i="4"/>
  <c r="K155" i="4"/>
  <c r="F152" i="4"/>
  <c r="I155" i="4"/>
  <c r="R155" i="4"/>
  <c r="M155" i="4"/>
  <c r="J155" i="4"/>
  <c r="H155" i="4"/>
  <c r="R467" i="16" l="1"/>
  <c r="S98" i="16"/>
  <c r="R100" i="16"/>
  <c r="E95" i="16"/>
  <c r="E449" i="16" s="1"/>
  <c r="S10" i="16"/>
  <c r="H21" i="16"/>
  <c r="R133" i="16"/>
  <c r="R135" i="16" s="1"/>
  <c r="K21" i="16"/>
  <c r="M21" i="16"/>
  <c r="Q21" i="16"/>
  <c r="L21" i="16"/>
  <c r="P21" i="16"/>
  <c r="I21" i="16"/>
  <c r="O21" i="16"/>
  <c r="N21" i="16"/>
  <c r="J21" i="16"/>
  <c r="M115" i="16"/>
  <c r="O39" i="16"/>
  <c r="K58" i="16"/>
  <c r="K115" i="16"/>
  <c r="Q39" i="16"/>
  <c r="P115" i="16"/>
  <c r="Q58" i="16"/>
  <c r="Q115" i="16"/>
  <c r="H115" i="16"/>
  <c r="N115" i="16"/>
  <c r="J58" i="16"/>
  <c r="O115" i="16"/>
  <c r="I39" i="16"/>
  <c r="P58" i="16"/>
  <c r="N39" i="16"/>
  <c r="I115" i="16"/>
  <c r="L115" i="16"/>
  <c r="I58" i="16"/>
  <c r="J39" i="16"/>
  <c r="M39" i="16"/>
  <c r="J115" i="16"/>
  <c r="S132" i="16"/>
  <c r="O58" i="16"/>
  <c r="S35" i="16"/>
  <c r="S37" i="16" s="1"/>
  <c r="R37" i="16"/>
  <c r="S138" i="16"/>
  <c r="L58" i="16"/>
  <c r="S17" i="16"/>
  <c r="S19" i="16" s="1"/>
  <c r="R19" i="16"/>
  <c r="S119" i="16"/>
  <c r="S120" i="16" s="1"/>
  <c r="S127" i="16" s="1"/>
  <c r="R120" i="16"/>
  <c r="H39" i="16"/>
  <c r="N58" i="16"/>
  <c r="L39" i="16"/>
  <c r="M58" i="16"/>
  <c r="S123" i="16"/>
  <c r="R125" i="16"/>
  <c r="R52" i="16"/>
  <c r="S43" i="16"/>
  <c r="S52" i="16" s="1"/>
  <c r="R32" i="16"/>
  <c r="S25" i="16"/>
  <c r="S32" i="16" s="1"/>
  <c r="K39" i="16"/>
  <c r="S54" i="16"/>
  <c r="S56" i="16" s="1"/>
  <c r="R56" i="16"/>
  <c r="R113" i="16"/>
  <c r="S111" i="16"/>
  <c r="R108" i="16"/>
  <c r="S106" i="16"/>
  <c r="S108" i="16" s="1"/>
  <c r="S115" i="16" s="1"/>
  <c r="S8" i="16"/>
  <c r="R15" i="16"/>
  <c r="S99" i="16"/>
  <c r="S93" i="16"/>
  <c r="H127" i="16"/>
  <c r="P39" i="16"/>
  <c r="H58" i="16"/>
  <c r="S100" i="16" l="1"/>
  <c r="S15" i="16"/>
  <c r="S21" i="16" s="1"/>
  <c r="R21" i="16"/>
  <c r="S133" i="16"/>
  <c r="S135" i="16" s="1"/>
  <c r="S39" i="16"/>
  <c r="R39" i="16"/>
  <c r="R115" i="16"/>
  <c r="R58" i="16"/>
  <c r="S58" i="16"/>
  <c r="R127" i="16"/>
  <c r="M135" i="16" l="1"/>
  <c r="M85" i="16"/>
  <c r="M87" i="16" s="1"/>
  <c r="M89" i="16" s="1"/>
  <c r="N135" i="16"/>
  <c r="N85" i="16"/>
  <c r="N87" i="16" s="1"/>
  <c r="N89" i="16" s="1"/>
  <c r="L135" i="16"/>
  <c r="L85" i="16"/>
  <c r="L87" i="16" s="1"/>
  <c r="L89" i="16" s="1"/>
  <c r="I135" i="16"/>
  <c r="I85" i="16"/>
  <c r="I87" i="16" s="1"/>
  <c r="I89" i="16" s="1"/>
  <c r="P135" i="16"/>
  <c r="P85" i="16"/>
  <c r="P87" i="16" s="1"/>
  <c r="P89" i="16" s="1"/>
  <c r="H85" i="16"/>
  <c r="K135" i="16"/>
  <c r="K85" i="16"/>
  <c r="K87" i="16" s="1"/>
  <c r="K89" i="16" s="1"/>
  <c r="J135" i="16"/>
  <c r="J85" i="16"/>
  <c r="J87" i="16" s="1"/>
  <c r="J89" i="16" s="1"/>
  <c r="Q135" i="16"/>
  <c r="Q85" i="16"/>
  <c r="Q87" i="16" s="1"/>
  <c r="Q89" i="16" s="1"/>
  <c r="O135" i="16"/>
  <c r="O85" i="16"/>
  <c r="O87" i="16" s="1"/>
  <c r="O89" i="16" s="1"/>
  <c r="K452" i="16" l="1"/>
  <c r="N452" i="16"/>
  <c r="O452" i="16"/>
  <c r="P452" i="16"/>
  <c r="J452" i="16"/>
  <c r="L452" i="16"/>
  <c r="M452" i="16"/>
  <c r="I452" i="16"/>
  <c r="Q452" i="16"/>
  <c r="H87" i="16"/>
  <c r="H89" i="16" s="1"/>
  <c r="R85" i="16"/>
  <c r="H452" i="16" l="1"/>
  <c r="N95" i="16"/>
  <c r="N449" i="16" s="1"/>
  <c r="S85" i="16"/>
  <c r="S87" i="16" s="1"/>
  <c r="S89" i="16" s="1"/>
  <c r="R87" i="16"/>
  <c r="R89" i="16" s="1"/>
  <c r="R452" i="16" l="1"/>
  <c r="Q453" i="16" s="1"/>
  <c r="L20" i="17" s="1"/>
  <c r="N102" i="16"/>
  <c r="O95" i="16"/>
  <c r="O449" i="16" s="1"/>
  <c r="I95" i="16"/>
  <c r="I449" i="16" s="1"/>
  <c r="M95" i="16"/>
  <c r="M449" i="16" s="1"/>
  <c r="P95" i="16"/>
  <c r="P449" i="16" s="1"/>
  <c r="Q95" i="16"/>
  <c r="Q449" i="16" s="1"/>
  <c r="L95" i="16"/>
  <c r="L449" i="16" s="1"/>
  <c r="H95" i="16"/>
  <c r="H449" i="16" s="1"/>
  <c r="K95" i="16"/>
  <c r="K449" i="16" s="1"/>
  <c r="J95" i="16"/>
  <c r="J449" i="16" s="1"/>
  <c r="R453" i="16" l="1"/>
  <c r="H453" i="16"/>
  <c r="C20" i="17" s="1"/>
  <c r="N453" i="16"/>
  <c r="I20" i="17" s="1"/>
  <c r="P453" i="16"/>
  <c r="K20" i="17" s="1"/>
  <c r="L453" i="16"/>
  <c r="G20" i="17" s="1"/>
  <c r="M453" i="16"/>
  <c r="H20" i="17" s="1"/>
  <c r="K453" i="16"/>
  <c r="F20" i="17" s="1"/>
  <c r="O453" i="16"/>
  <c r="J20" i="17" s="1"/>
  <c r="Q74" i="16"/>
  <c r="Q75" i="16"/>
  <c r="I453" i="16"/>
  <c r="D20" i="17" s="1"/>
  <c r="J453" i="16"/>
  <c r="E20" i="17" s="1"/>
  <c r="Q102" i="16"/>
  <c r="L102" i="16"/>
  <c r="P102" i="16"/>
  <c r="M102" i="16"/>
  <c r="I102" i="16"/>
  <c r="J102" i="16"/>
  <c r="O102" i="16"/>
  <c r="K102" i="16"/>
  <c r="H102" i="16"/>
  <c r="R95" i="16"/>
  <c r="R449" i="16" s="1"/>
  <c r="S95" i="16"/>
  <c r="S102" i="16" s="1"/>
  <c r="H74" i="16" l="1"/>
  <c r="H75" i="16"/>
  <c r="N74" i="16"/>
  <c r="L74" i="16"/>
  <c r="N75" i="16"/>
  <c r="P74" i="16"/>
  <c r="O75" i="16"/>
  <c r="P75" i="16"/>
  <c r="L75" i="16"/>
  <c r="O74" i="16"/>
  <c r="K75" i="16"/>
  <c r="M75" i="16"/>
  <c r="K74" i="16"/>
  <c r="M74" i="16"/>
  <c r="Q76" i="16"/>
  <c r="J74" i="16"/>
  <c r="J75" i="16"/>
  <c r="I74" i="16"/>
  <c r="I75" i="16"/>
  <c r="M20" i="17"/>
  <c r="R102" i="16"/>
  <c r="H76" i="16" l="1"/>
  <c r="N76" i="16"/>
  <c r="O76" i="16"/>
  <c r="P76" i="16"/>
  <c r="L76" i="16"/>
  <c r="K76" i="16"/>
  <c r="M76" i="16"/>
  <c r="R75" i="16"/>
  <c r="S75" i="16" s="1"/>
  <c r="I76" i="16"/>
  <c r="R74" i="16"/>
  <c r="S74" i="16" s="1"/>
  <c r="J76" i="16"/>
  <c r="S76" i="16" l="1"/>
  <c r="R76" i="16"/>
  <c r="E407" i="16" l="1"/>
  <c r="E440" i="16" l="1"/>
  <c r="E445" i="16" l="1"/>
  <c r="E464" i="16" s="1"/>
  <c r="E447" i="16" l="1"/>
  <c r="I8" i="19"/>
  <c r="I17" i="19"/>
  <c r="H40" i="18" l="1"/>
  <c r="I20" i="19"/>
  <c r="H41" i="18" s="1"/>
  <c r="I12" i="19"/>
  <c r="H29" i="18" s="1"/>
  <c r="H8" i="18"/>
  <c r="H28" i="18"/>
  <c r="H15" i="18"/>
  <c r="H52" i="18"/>
  <c r="H8" i="19" l="1"/>
  <c r="H17" i="19"/>
  <c r="K30" i="20"/>
  <c r="K38" i="20" s="1"/>
  <c r="G40" i="18" l="1"/>
  <c r="H20" i="19"/>
  <c r="G41" i="18" s="1"/>
  <c r="G8" i="18"/>
  <c r="G28" i="18"/>
  <c r="G52" i="18"/>
  <c r="G15" i="18"/>
  <c r="H12" i="19"/>
  <c r="C55" i="19" s="1"/>
  <c r="G29" i="18" l="1"/>
  <c r="B63" i="18" l="1"/>
  <c r="C56" i="19"/>
  <c r="B62" i="18" s="1"/>
  <c r="F66" i="18" l="1"/>
  <c r="B66" i="18"/>
  <c r="E66" i="18"/>
  <c r="G66" i="18"/>
  <c r="D66" i="18"/>
  <c r="C66" i="18"/>
  <c r="H66" i="18"/>
  <c r="I66" i="18" l="1"/>
  <c r="L30" i="20" l="1"/>
  <c r="L38" i="20" s="1"/>
  <c r="E452" i="16" l="1"/>
  <c r="E102" i="16"/>
  <c r="E22" i="19" l="1"/>
  <c r="D125" i="18" l="1"/>
  <c r="D131" i="18" l="1"/>
  <c r="C22" i="19" l="1"/>
  <c r="B125" i="18" l="1"/>
  <c r="J22" i="19"/>
  <c r="B131" i="18" l="1"/>
  <c r="I125" i="18"/>
  <c r="B126" i="18" l="1"/>
  <c r="C40" i="17" s="1"/>
  <c r="G126" i="18"/>
  <c r="H40" i="17" s="1"/>
  <c r="D126" i="18"/>
  <c r="E40" i="17" s="1"/>
  <c r="F126" i="18"/>
  <c r="G40" i="17" s="1"/>
  <c r="C126" i="18"/>
  <c r="D40" i="17" s="1"/>
  <c r="E126" i="18"/>
  <c r="F40" i="17" s="1"/>
  <c r="H126" i="18"/>
  <c r="I40" i="17" s="1"/>
  <c r="I131" i="18"/>
  <c r="B132" i="18" l="1"/>
  <c r="G132" i="18"/>
  <c r="I126" i="18"/>
  <c r="D132" i="18"/>
  <c r="E132" i="18"/>
  <c r="C132" i="18"/>
  <c r="F132" i="18"/>
  <c r="H132" i="18"/>
  <c r="J40" i="17"/>
  <c r="I132" i="18" l="1"/>
  <c r="U146" i="4" l="1"/>
  <c r="U155" i="4" s="1"/>
  <c r="F282" i="4"/>
  <c r="F272" i="4"/>
  <c r="F146" i="4"/>
  <c r="F155" i="4" s="1"/>
  <c r="F159" i="4" s="1"/>
  <c r="S146" i="4"/>
  <c r="S155" i="4" s="1"/>
  <c r="F160" i="4" l="1"/>
  <c r="F274" i="4"/>
  <c r="F284" i="4"/>
  <c r="K147" i="16"/>
  <c r="K149" i="16" s="1"/>
  <c r="L147" i="16"/>
  <c r="L149" i="16" s="1"/>
  <c r="O147" i="16"/>
  <c r="O149" i="16" s="1"/>
  <c r="Q147" i="16"/>
  <c r="Q149" i="16" s="1"/>
  <c r="N147" i="16"/>
  <c r="N149" i="16" s="1"/>
  <c r="J147" i="16"/>
  <c r="J149" i="16" s="1"/>
  <c r="P147" i="16"/>
  <c r="P149" i="16" s="1"/>
  <c r="E147" i="16"/>
  <c r="E149" i="16" s="1"/>
  <c r="M147" i="16"/>
  <c r="M149" i="16" s="1"/>
  <c r="I147" i="16"/>
  <c r="I149" i="16" s="1"/>
  <c r="E289" i="16"/>
  <c r="E292" i="16" s="1"/>
  <c r="E299" i="16"/>
  <c r="E301" i="16" s="1"/>
  <c r="E172" i="16"/>
  <c r="E179" i="16" s="1"/>
  <c r="E455" i="16" l="1"/>
  <c r="E181" i="16"/>
  <c r="H147" i="16"/>
  <c r="H149" i="16" s="1"/>
  <c r="E308" i="16" l="1"/>
  <c r="S147" i="16"/>
  <c r="S149" i="16" s="1"/>
  <c r="R147" i="16"/>
  <c r="R149" i="16" s="1"/>
  <c r="E312" i="16" l="1"/>
  <c r="E313" i="16" s="1"/>
  <c r="I117" i="18"/>
  <c r="I99" i="18"/>
  <c r="I118" i="18"/>
  <c r="I100" i="18"/>
  <c r="Q394" i="16" l="1"/>
  <c r="Q263" i="16"/>
  <c r="N394" i="16" l="1"/>
  <c r="N263" i="16"/>
  <c r="P394" i="16"/>
  <c r="P263" i="16"/>
  <c r="M394" i="16"/>
  <c r="M263" i="16"/>
  <c r="O394" i="16"/>
  <c r="O263" i="16"/>
  <c r="J263" i="16"/>
  <c r="J394" i="16"/>
  <c r="H394" i="16"/>
  <c r="H263" i="16"/>
  <c r="I263" i="16"/>
  <c r="I394" i="16"/>
  <c r="L394" i="16"/>
  <c r="L263" i="16"/>
  <c r="K263" i="16"/>
  <c r="K394" i="16"/>
  <c r="R263" i="16" l="1"/>
  <c r="S263" i="16" s="1"/>
  <c r="R394" i="16"/>
  <c r="S394" i="16" s="1"/>
  <c r="Q450" i="16" l="1"/>
  <c r="L19" i="17" s="1"/>
  <c r="Q62" i="16" s="1"/>
  <c r="O450" i="16" l="1"/>
  <c r="J19" i="17" s="1"/>
  <c r="O62" i="16" s="1"/>
  <c r="H450" i="16"/>
  <c r="C19" i="17" s="1"/>
  <c r="H62" i="16" s="1"/>
  <c r="I450" i="16"/>
  <c r="D19" i="17" s="1"/>
  <c r="I62" i="16" s="1"/>
  <c r="P450" i="16"/>
  <c r="K19" i="17" s="1"/>
  <c r="P62" i="16" s="1"/>
  <c r="R450" i="16"/>
  <c r="M450" i="16"/>
  <c r="H19" i="17" s="1"/>
  <c r="M62" i="16" s="1"/>
  <c r="J450" i="16"/>
  <c r="E19" i="17" s="1"/>
  <c r="J62" i="16" s="1"/>
  <c r="L450" i="16"/>
  <c r="G19" i="17" s="1"/>
  <c r="L62" i="16" s="1"/>
  <c r="N450" i="16"/>
  <c r="I19" i="17" s="1"/>
  <c r="N62" i="16" s="1"/>
  <c r="K450" i="16"/>
  <c r="F19" i="17" s="1"/>
  <c r="K62" i="16" s="1"/>
  <c r="Q65" i="16"/>
  <c r="Q64" i="16"/>
  <c r="Q70" i="16"/>
  <c r="Q69" i="16"/>
  <c r="Q68" i="16"/>
  <c r="Q63" i="16"/>
  <c r="Q66" i="16"/>
  <c r="Q67" i="16"/>
  <c r="R62" i="16" l="1"/>
  <c r="S62" i="16" s="1"/>
  <c r="J63" i="16"/>
  <c r="J69" i="16"/>
  <c r="J66" i="16"/>
  <c r="J70" i="16"/>
  <c r="J64" i="16"/>
  <c r="J65" i="16"/>
  <c r="J68" i="16"/>
  <c r="J67" i="16"/>
  <c r="P68" i="16"/>
  <c r="P66" i="16"/>
  <c r="P67" i="16"/>
  <c r="P63" i="16"/>
  <c r="P65" i="16"/>
  <c r="P70" i="16"/>
  <c r="P64" i="16"/>
  <c r="P69" i="16"/>
  <c r="L63" i="16"/>
  <c r="L67" i="16"/>
  <c r="L66" i="16"/>
  <c r="L69" i="16"/>
  <c r="L65" i="16"/>
  <c r="L64" i="16"/>
  <c r="L68" i="16"/>
  <c r="L70" i="16"/>
  <c r="M64" i="16"/>
  <c r="M65" i="16"/>
  <c r="M66" i="16"/>
  <c r="M68" i="16"/>
  <c r="M70" i="16"/>
  <c r="M69" i="16"/>
  <c r="M63" i="16"/>
  <c r="M67" i="16"/>
  <c r="I69" i="16"/>
  <c r="I65" i="16"/>
  <c r="I63" i="16"/>
  <c r="I64" i="16"/>
  <c r="I70" i="16"/>
  <c r="I66" i="16"/>
  <c r="I67" i="16"/>
  <c r="I68" i="16"/>
  <c r="K63" i="16"/>
  <c r="K66" i="16"/>
  <c r="K70" i="16"/>
  <c r="K64" i="16"/>
  <c r="K69" i="16"/>
  <c r="K65" i="16"/>
  <c r="K67" i="16"/>
  <c r="K68" i="16"/>
  <c r="H64" i="16"/>
  <c r="H69" i="16"/>
  <c r="H66" i="16"/>
  <c r="H65" i="16"/>
  <c r="M19" i="17"/>
  <c r="H70" i="16"/>
  <c r="H68" i="16"/>
  <c r="H63" i="16"/>
  <c r="H67" i="16"/>
  <c r="Q458" i="16"/>
  <c r="Q71" i="16"/>
  <c r="Q78" i="16" s="1"/>
  <c r="N63" i="16"/>
  <c r="N66" i="16"/>
  <c r="N67" i="16"/>
  <c r="N69" i="16"/>
  <c r="N64" i="16"/>
  <c r="N70" i="16"/>
  <c r="N68" i="16"/>
  <c r="N65" i="16"/>
  <c r="O63" i="16"/>
  <c r="O70" i="16"/>
  <c r="O65" i="16"/>
  <c r="O69" i="16"/>
  <c r="O64" i="16"/>
  <c r="O68" i="16"/>
  <c r="O67" i="16"/>
  <c r="O66" i="16"/>
  <c r="R68" i="16" l="1"/>
  <c r="S68" i="16" s="1"/>
  <c r="M458" i="16"/>
  <c r="M71" i="16"/>
  <c r="M78" i="16" s="1"/>
  <c r="R70" i="16"/>
  <c r="S70" i="16" s="1"/>
  <c r="H458" i="16"/>
  <c r="R63" i="16"/>
  <c r="H71" i="16"/>
  <c r="H78" i="16" s="1"/>
  <c r="O458" i="16"/>
  <c r="O71" i="16"/>
  <c r="O78" i="16" s="1"/>
  <c r="N458" i="16"/>
  <c r="N71" i="16"/>
  <c r="N78" i="16" s="1"/>
  <c r="R65" i="16"/>
  <c r="S65" i="16" s="1"/>
  <c r="P458" i="16"/>
  <c r="P71" i="16"/>
  <c r="P78" i="16" s="1"/>
  <c r="R66" i="16"/>
  <c r="S66" i="16" s="1"/>
  <c r="I458" i="16"/>
  <c r="I71" i="16"/>
  <c r="I78" i="16" s="1"/>
  <c r="R69" i="16"/>
  <c r="S69" i="16" s="1"/>
  <c r="Q455" i="16"/>
  <c r="R67" i="16"/>
  <c r="S67" i="16" s="1"/>
  <c r="R64" i="16"/>
  <c r="S64" i="16" s="1"/>
  <c r="K458" i="16"/>
  <c r="K71" i="16"/>
  <c r="K78" i="16" s="1"/>
  <c r="L458" i="16"/>
  <c r="L71" i="16"/>
  <c r="L78" i="16" s="1"/>
  <c r="J458" i="16"/>
  <c r="J71" i="16"/>
  <c r="J78" i="16" s="1"/>
  <c r="H455" i="16" l="1"/>
  <c r="S63" i="16"/>
  <c r="S71" i="16" s="1"/>
  <c r="S78" i="16" s="1"/>
  <c r="R458" i="16"/>
  <c r="M459" i="16" s="1"/>
  <c r="H22" i="17" s="1"/>
  <c r="R71" i="16"/>
  <c r="R78" i="16" s="1"/>
  <c r="L455" i="16"/>
  <c r="N455" i="16"/>
  <c r="M455" i="16"/>
  <c r="J455" i="16"/>
  <c r="P455" i="16"/>
  <c r="K455" i="16"/>
  <c r="I455" i="16"/>
  <c r="O455" i="16"/>
  <c r="I459" i="16" l="1"/>
  <c r="D22" i="17" s="1"/>
  <c r="I175" i="16" s="1"/>
  <c r="J459" i="16"/>
  <c r="E22" i="17" s="1"/>
  <c r="J175" i="16" s="1"/>
  <c r="H459" i="16"/>
  <c r="C22" i="17" s="1"/>
  <c r="H296" i="16" s="1"/>
  <c r="O459" i="16"/>
  <c r="J22" i="17" s="1"/>
  <c r="O155" i="16" s="1"/>
  <c r="R455" i="16"/>
  <c r="P456" i="16" s="1"/>
  <c r="K21" i="17" s="1"/>
  <c r="R459" i="16"/>
  <c r="Q459" i="16"/>
  <c r="L22" i="17" s="1"/>
  <c r="M175" i="16"/>
  <c r="M158" i="16"/>
  <c r="M155" i="16"/>
  <c r="M154" i="16"/>
  <c r="M296" i="16"/>
  <c r="M157" i="16"/>
  <c r="N459" i="16"/>
  <c r="I22" i="17" s="1"/>
  <c r="K459" i="16"/>
  <c r="F22" i="17" s="1"/>
  <c r="L459" i="16"/>
  <c r="G22" i="17" s="1"/>
  <c r="P459" i="16"/>
  <c r="K22" i="17" s="1"/>
  <c r="H155" i="16" l="1"/>
  <c r="J155" i="16"/>
  <c r="I154" i="16"/>
  <c r="I158" i="16"/>
  <c r="I296" i="16"/>
  <c r="I157" i="16"/>
  <c r="J154" i="16"/>
  <c r="J158" i="16"/>
  <c r="J157" i="16"/>
  <c r="I155" i="16"/>
  <c r="J296" i="16"/>
  <c r="O175" i="16"/>
  <c r="H175" i="16"/>
  <c r="O296" i="16"/>
  <c r="H157" i="16"/>
  <c r="O154" i="16"/>
  <c r="O157" i="16"/>
  <c r="O158" i="16"/>
  <c r="H154" i="16"/>
  <c r="H158" i="16"/>
  <c r="H456" i="16"/>
  <c r="C21" i="17" s="1"/>
  <c r="H252" i="16" s="1"/>
  <c r="L456" i="16"/>
  <c r="G21" i="17" s="1"/>
  <c r="L404" i="16" s="1"/>
  <c r="K456" i="16"/>
  <c r="F21" i="17" s="1"/>
  <c r="K264" i="16" s="1"/>
  <c r="N456" i="16"/>
  <c r="I21" i="17" s="1"/>
  <c r="N397" i="16" s="1"/>
  <c r="M22" i="17"/>
  <c r="J456" i="16"/>
  <c r="E21" i="17" s="1"/>
  <c r="J391" i="16" s="1"/>
  <c r="I456" i="16"/>
  <c r="D21" i="17" s="1"/>
  <c r="I382" i="16" s="1"/>
  <c r="I156" i="16"/>
  <c r="H268" i="16"/>
  <c r="H165" i="16"/>
  <c r="H156" i="16"/>
  <c r="L158" i="16"/>
  <c r="L175" i="16"/>
  <c r="L155" i="16"/>
  <c r="L154" i="16"/>
  <c r="L157" i="16"/>
  <c r="L296" i="16"/>
  <c r="L165" i="16"/>
  <c r="L395" i="16"/>
  <c r="L156" i="16"/>
  <c r="P404" i="16"/>
  <c r="P153" i="16"/>
  <c r="P372" i="16"/>
  <c r="P161" i="16"/>
  <c r="P265" i="16"/>
  <c r="P379" i="16"/>
  <c r="P399" i="16"/>
  <c r="P397" i="16"/>
  <c r="P156" i="16"/>
  <c r="P256" i="16"/>
  <c r="P260" i="16"/>
  <c r="P373" i="16"/>
  <c r="P393" i="16"/>
  <c r="P266" i="16"/>
  <c r="P249" i="16"/>
  <c r="P176" i="16"/>
  <c r="P169" i="16"/>
  <c r="P392" i="16"/>
  <c r="P159" i="16"/>
  <c r="P389" i="16"/>
  <c r="P384" i="16"/>
  <c r="P250" i="16"/>
  <c r="P375" i="16"/>
  <c r="P385" i="16"/>
  <c r="P396" i="16"/>
  <c r="P400" i="16"/>
  <c r="P376" i="16"/>
  <c r="P377" i="16"/>
  <c r="P255" i="16"/>
  <c r="P381" i="16"/>
  <c r="P247" i="16"/>
  <c r="P164" i="16"/>
  <c r="P268" i="16"/>
  <c r="P162" i="16"/>
  <c r="P165" i="16"/>
  <c r="P395" i="16"/>
  <c r="P248" i="16"/>
  <c r="P386" i="16"/>
  <c r="P163" i="16"/>
  <c r="P244" i="16"/>
  <c r="P254" i="16"/>
  <c r="P267" i="16"/>
  <c r="P252" i="16"/>
  <c r="P253" i="16"/>
  <c r="P242" i="16"/>
  <c r="P171" i="16"/>
  <c r="P166" i="16"/>
  <c r="P246" i="16"/>
  <c r="P264" i="16"/>
  <c r="P262" i="16"/>
  <c r="P382" i="16"/>
  <c r="P261" i="16"/>
  <c r="P241" i="16"/>
  <c r="P167" i="16"/>
  <c r="P243" i="16"/>
  <c r="P374" i="16"/>
  <c r="P251" i="16"/>
  <c r="P380" i="16"/>
  <c r="P168" i="16"/>
  <c r="P390" i="16"/>
  <c r="P383" i="16"/>
  <c r="P391" i="16"/>
  <c r="P170" i="16"/>
  <c r="P388" i="16"/>
  <c r="P269" i="16"/>
  <c r="P387" i="16"/>
  <c r="P245" i="16"/>
  <c r="P258" i="16"/>
  <c r="P378" i="16"/>
  <c r="P398" i="16"/>
  <c r="P257" i="16"/>
  <c r="P160" i="16"/>
  <c r="P259" i="16"/>
  <c r="K156" i="16"/>
  <c r="K165" i="16"/>
  <c r="J165" i="16"/>
  <c r="J156" i="16"/>
  <c r="N165" i="16"/>
  <c r="N156" i="16"/>
  <c r="R456" i="16"/>
  <c r="Q456" i="16"/>
  <c r="L21" i="17" s="1"/>
  <c r="K175" i="16"/>
  <c r="K158" i="16"/>
  <c r="K154" i="16"/>
  <c r="K296" i="16"/>
  <c r="K155" i="16"/>
  <c r="K157" i="16"/>
  <c r="Q175" i="16"/>
  <c r="Q296" i="16"/>
  <c r="Q155" i="16"/>
  <c r="Q154" i="16"/>
  <c r="Q157" i="16"/>
  <c r="Q158" i="16"/>
  <c r="P175" i="16"/>
  <c r="P158" i="16"/>
  <c r="P155" i="16"/>
  <c r="P154" i="16"/>
  <c r="P296" i="16"/>
  <c r="P157" i="16"/>
  <c r="N175" i="16"/>
  <c r="N158" i="16"/>
  <c r="N296" i="16"/>
  <c r="N157" i="16"/>
  <c r="N155" i="16"/>
  <c r="N154" i="16"/>
  <c r="O456" i="16"/>
  <c r="J21" i="17" s="1"/>
  <c r="M456" i="16"/>
  <c r="H21" i="17" s="1"/>
  <c r="L378" i="16" l="1"/>
  <c r="L269" i="16"/>
  <c r="L159" i="16"/>
  <c r="H258" i="16"/>
  <c r="H267" i="16"/>
  <c r="L384" i="16"/>
  <c r="H387" i="16"/>
  <c r="L167" i="16"/>
  <c r="L244" i="16"/>
  <c r="L251" i="16"/>
  <c r="L390" i="16"/>
  <c r="L379" i="16"/>
  <c r="L377" i="16"/>
  <c r="H249" i="16"/>
  <c r="H377" i="16"/>
  <c r="H167" i="16"/>
  <c r="L260" i="16"/>
  <c r="L387" i="16"/>
  <c r="L241" i="16"/>
  <c r="H375" i="16"/>
  <c r="L398" i="16"/>
  <c r="H257" i="16"/>
  <c r="H254" i="16"/>
  <c r="H259" i="16"/>
  <c r="L389" i="16"/>
  <c r="H242" i="16"/>
  <c r="N400" i="16"/>
  <c r="H389" i="16"/>
  <c r="N166" i="16"/>
  <c r="N266" i="16"/>
  <c r="N163" i="16"/>
  <c r="N383" i="16"/>
  <c r="N260" i="16"/>
  <c r="J264" i="16"/>
  <c r="J248" i="16"/>
  <c r="J259" i="16"/>
  <c r="J376" i="16"/>
  <c r="J374" i="16"/>
  <c r="J249" i="16"/>
  <c r="J166" i="16"/>
  <c r="J380" i="16"/>
  <c r="H256" i="16"/>
  <c r="J253" i="16"/>
  <c r="J176" i="16"/>
  <c r="J177" i="16" s="1"/>
  <c r="L373" i="16"/>
  <c r="J385" i="16"/>
  <c r="J390" i="16"/>
  <c r="J269" i="16"/>
  <c r="J377" i="16"/>
  <c r="J251" i="16"/>
  <c r="J256" i="16"/>
  <c r="J245" i="16"/>
  <c r="J241" i="16"/>
  <c r="J244" i="16"/>
  <c r="J250" i="16"/>
  <c r="J255" i="16"/>
  <c r="J373" i="16"/>
  <c r="J375" i="16"/>
  <c r="J260" i="16"/>
  <c r="J384" i="16"/>
  <c r="J268" i="16"/>
  <c r="J168" i="16"/>
  <c r="J400" i="16"/>
  <c r="J171" i="16"/>
  <c r="J160" i="16"/>
  <c r="J164" i="16"/>
  <c r="J247" i="16"/>
  <c r="J379" i="16"/>
  <c r="J167" i="16"/>
  <c r="L248" i="16"/>
  <c r="N254" i="16"/>
  <c r="N176" i="16"/>
  <c r="N177" i="16" s="1"/>
  <c r="N388" i="16"/>
  <c r="N161" i="16"/>
  <c r="N265" i="16"/>
  <c r="N243" i="16"/>
  <c r="N396" i="16"/>
  <c r="N395" i="16"/>
  <c r="N247" i="16"/>
  <c r="N167" i="16"/>
  <c r="N374" i="16"/>
  <c r="N386" i="16"/>
  <c r="N249" i="16"/>
  <c r="N404" i="16"/>
  <c r="N241" i="16"/>
  <c r="N387" i="16"/>
  <c r="N253" i="16"/>
  <c r="N268" i="16"/>
  <c r="N168" i="16"/>
  <c r="H166" i="16"/>
  <c r="H388" i="16"/>
  <c r="H255" i="16"/>
  <c r="H245" i="16"/>
  <c r="H161" i="16"/>
  <c r="H400" i="16"/>
  <c r="H176" i="16"/>
  <c r="H177" i="16" s="1"/>
  <c r="H153" i="16"/>
  <c r="H373" i="16"/>
  <c r="H163" i="16"/>
  <c r="H396" i="16"/>
  <c r="H246" i="16"/>
  <c r="H397" i="16"/>
  <c r="H170" i="16"/>
  <c r="H376" i="16"/>
  <c r="H248" i="16"/>
  <c r="H372" i="16"/>
  <c r="H250" i="16"/>
  <c r="H243" i="16"/>
  <c r="H384" i="16"/>
  <c r="H160" i="16"/>
  <c r="H395" i="16"/>
  <c r="H386" i="16"/>
  <c r="H392" i="16"/>
  <c r="H383" i="16"/>
  <c r="H169" i="16"/>
  <c r="H378" i="16"/>
  <c r="H164" i="16"/>
  <c r="H244" i="16"/>
  <c r="H393" i="16"/>
  <c r="H269" i="16"/>
  <c r="H266" i="16"/>
  <c r="H247" i="16"/>
  <c r="H168" i="16"/>
  <c r="H162" i="16"/>
  <c r="H380" i="16"/>
  <c r="H159" i="16"/>
  <c r="H391" i="16"/>
  <c r="H262" i="16"/>
  <c r="H379" i="16"/>
  <c r="H264" i="16"/>
  <c r="H374" i="16"/>
  <c r="H251" i="16"/>
  <c r="H382" i="16"/>
  <c r="H241" i="16"/>
  <c r="H398" i="16"/>
  <c r="H385" i="16"/>
  <c r="H265" i="16"/>
  <c r="H171" i="16"/>
  <c r="H253" i="16"/>
  <c r="H260" i="16"/>
  <c r="H399" i="16"/>
  <c r="H404" i="16"/>
  <c r="K258" i="16"/>
  <c r="K372" i="16"/>
  <c r="L249" i="16"/>
  <c r="L383" i="16"/>
  <c r="L391" i="16"/>
  <c r="L170" i="16"/>
  <c r="L264" i="16"/>
  <c r="L259" i="16"/>
  <c r="L374" i="16"/>
  <c r="L399" i="16"/>
  <c r="L164" i="16"/>
  <c r="L258" i="16"/>
  <c r="L246" i="16"/>
  <c r="L160" i="16"/>
  <c r="L380" i="16"/>
  <c r="L262" i="16"/>
  <c r="L168" i="16"/>
  <c r="L400" i="16"/>
  <c r="K170" i="16"/>
  <c r="K252" i="16"/>
  <c r="K167" i="16"/>
  <c r="L256" i="16"/>
  <c r="L247" i="16"/>
  <c r="L381" i="16"/>
  <c r="L153" i="16"/>
  <c r="L252" i="16"/>
  <c r="L161" i="16"/>
  <c r="L388" i="16"/>
  <c r="L376" i="16"/>
  <c r="L266" i="16"/>
  <c r="K247" i="16"/>
  <c r="K397" i="16"/>
  <c r="L261" i="16"/>
  <c r="L176" i="16"/>
  <c r="L177" i="16" s="1"/>
  <c r="L393" i="16"/>
  <c r="L254" i="16"/>
  <c r="L386" i="16"/>
  <c r="L169" i="16"/>
  <c r="L171" i="16"/>
  <c r="L396" i="16"/>
  <c r="L162" i="16"/>
  <c r="K251" i="16"/>
  <c r="L255" i="16"/>
  <c r="L392" i="16"/>
  <c r="L243" i="16"/>
  <c r="L242" i="16"/>
  <c r="L397" i="16"/>
  <c r="L257" i="16"/>
  <c r="L267" i="16"/>
  <c r="L163" i="16"/>
  <c r="L372" i="16"/>
  <c r="K176" i="16"/>
  <c r="K177" i="16" s="1"/>
  <c r="L245" i="16"/>
  <c r="L265" i="16"/>
  <c r="L385" i="16"/>
  <c r="L250" i="16"/>
  <c r="L375" i="16"/>
  <c r="L382" i="16"/>
  <c r="L166" i="16"/>
  <c r="L268" i="16"/>
  <c r="L253" i="16"/>
  <c r="K382" i="16"/>
  <c r="K267" i="16"/>
  <c r="K400" i="16"/>
  <c r="K168" i="16"/>
  <c r="K257" i="16"/>
  <c r="K404" i="16"/>
  <c r="K256" i="16"/>
  <c r="K269" i="16"/>
  <c r="K383" i="16"/>
  <c r="K386" i="16"/>
  <c r="K254" i="16"/>
  <c r="K379" i="16"/>
  <c r="K245" i="16"/>
  <c r="K255" i="16"/>
  <c r="K377" i="16"/>
  <c r="K163" i="16"/>
  <c r="K399" i="16"/>
  <c r="K169" i="16"/>
  <c r="K249" i="16"/>
  <c r="K388" i="16"/>
  <c r="K262" i="16"/>
  <c r="K160" i="16"/>
  <c r="K253" i="16"/>
  <c r="K385" i="16"/>
  <c r="K387" i="16"/>
  <c r="K398" i="16"/>
  <c r="H261" i="16"/>
  <c r="H390" i="16"/>
  <c r="H381" i="16"/>
  <c r="I153" i="16"/>
  <c r="N377" i="16"/>
  <c r="N385" i="16"/>
  <c r="N258" i="16"/>
  <c r="N381" i="16"/>
  <c r="N399" i="16"/>
  <c r="N379" i="16"/>
  <c r="N257" i="16"/>
  <c r="N251" i="16"/>
  <c r="N153" i="16"/>
  <c r="J254" i="16"/>
  <c r="J395" i="16"/>
  <c r="J393" i="16"/>
  <c r="J381" i="16"/>
  <c r="J161" i="16"/>
  <c r="J258" i="16"/>
  <c r="J246" i="16"/>
  <c r="J261" i="16"/>
  <c r="J397" i="16"/>
  <c r="K390" i="16"/>
  <c r="K260" i="16"/>
  <c r="K380" i="16"/>
  <c r="K373" i="16"/>
  <c r="K374" i="16"/>
  <c r="K153" i="16"/>
  <c r="K378" i="16"/>
  <c r="K241" i="16"/>
  <c r="K392" i="16"/>
  <c r="I373" i="16"/>
  <c r="I161" i="16"/>
  <c r="N393" i="16"/>
  <c r="N391" i="16"/>
  <c r="N250" i="16"/>
  <c r="N246" i="16"/>
  <c r="N255" i="16"/>
  <c r="N390" i="16"/>
  <c r="N373" i="16"/>
  <c r="N162" i="16"/>
  <c r="N170" i="16"/>
  <c r="N380" i="16"/>
  <c r="N242" i="16"/>
  <c r="N375" i="16"/>
  <c r="J388" i="16"/>
  <c r="J387" i="16"/>
  <c r="J159" i="16"/>
  <c r="J266" i="16"/>
  <c r="J257" i="16"/>
  <c r="J398" i="16"/>
  <c r="J386" i="16"/>
  <c r="J396" i="16"/>
  <c r="J383" i="16"/>
  <c r="J372" i="16"/>
  <c r="K171" i="16"/>
  <c r="K159" i="16"/>
  <c r="K162" i="16"/>
  <c r="K244" i="16"/>
  <c r="K384" i="16"/>
  <c r="K161" i="16"/>
  <c r="K243" i="16"/>
  <c r="K265" i="16"/>
  <c r="K376" i="16"/>
  <c r="I399" i="16"/>
  <c r="N267" i="16"/>
  <c r="N259" i="16"/>
  <c r="N398" i="16"/>
  <c r="N382" i="16"/>
  <c r="J267" i="16"/>
  <c r="J399" i="16"/>
  <c r="J169" i="16"/>
  <c r="J163" i="16"/>
  <c r="J265" i="16"/>
  <c r="J242" i="16"/>
  <c r="J262" i="16"/>
  <c r="J389" i="16"/>
  <c r="J252" i="16"/>
  <c r="K375" i="16"/>
  <c r="K396" i="16"/>
  <c r="K389" i="16"/>
  <c r="K242" i="16"/>
  <c r="K268" i="16"/>
  <c r="K393" i="16"/>
  <c r="K164" i="16"/>
  <c r="K250" i="16"/>
  <c r="K381" i="16"/>
  <c r="N248" i="16"/>
  <c r="N244" i="16"/>
  <c r="N389" i="16"/>
  <c r="N392" i="16"/>
  <c r="N256" i="16"/>
  <c r="N372" i="16"/>
  <c r="I176" i="16"/>
  <c r="I177" i="16" s="1"/>
  <c r="N264" i="16"/>
  <c r="N159" i="16"/>
  <c r="N160" i="16"/>
  <c r="N245" i="16"/>
  <c r="N164" i="16"/>
  <c r="N376" i="16"/>
  <c r="N269" i="16"/>
  <c r="N384" i="16"/>
  <c r="N171" i="16"/>
  <c r="N252" i="16"/>
  <c r="N378" i="16"/>
  <c r="N261" i="16"/>
  <c r="N169" i="16"/>
  <c r="N262" i="16"/>
  <c r="J382" i="16"/>
  <c r="J243" i="16"/>
  <c r="J378" i="16"/>
  <c r="J162" i="16"/>
  <c r="J392" i="16"/>
  <c r="J404" i="16"/>
  <c r="J170" i="16"/>
  <c r="J153" i="16"/>
  <c r="K166" i="16"/>
  <c r="K248" i="16"/>
  <c r="K391" i="16"/>
  <c r="K266" i="16"/>
  <c r="K261" i="16"/>
  <c r="K259" i="16"/>
  <c r="K246" i="16"/>
  <c r="K395" i="16"/>
  <c r="I404" i="16"/>
  <c r="I379" i="16"/>
  <c r="I262" i="16"/>
  <c r="I261" i="16"/>
  <c r="I253" i="16"/>
  <c r="I254" i="16"/>
  <c r="I248" i="16"/>
  <c r="I383" i="16"/>
  <c r="I397" i="16"/>
  <c r="I242" i="16"/>
  <c r="I252" i="16"/>
  <c r="I243" i="16"/>
  <c r="I171" i="16"/>
  <c r="I168" i="16"/>
  <c r="I255" i="16"/>
  <c r="I386" i="16"/>
  <c r="I260" i="16"/>
  <c r="I400" i="16"/>
  <c r="I392" i="16"/>
  <c r="I389" i="16"/>
  <c r="I393" i="16"/>
  <c r="I264" i="16"/>
  <c r="I374" i="16"/>
  <c r="I251" i="16"/>
  <c r="I159" i="16"/>
  <c r="I398" i="16"/>
  <c r="I249" i="16"/>
  <c r="I259" i="16"/>
  <c r="I269" i="16"/>
  <c r="I244" i="16"/>
  <c r="I258" i="16"/>
  <c r="I257" i="16"/>
  <c r="I245" i="16"/>
  <c r="I388" i="16"/>
  <c r="I170" i="16"/>
  <c r="I169" i="16"/>
  <c r="I381" i="16"/>
  <c r="I166" i="16"/>
  <c r="I162" i="16"/>
  <c r="I377" i="16"/>
  <c r="I396" i="16"/>
  <c r="I395" i="16"/>
  <c r="I250" i="16"/>
  <c r="I266" i="16"/>
  <c r="I265" i="16"/>
  <c r="I164" i="16"/>
  <c r="I387" i="16"/>
  <c r="I246" i="16"/>
  <c r="I160" i="16"/>
  <c r="P177" i="16"/>
  <c r="I375" i="16"/>
  <c r="I378" i="16"/>
  <c r="I167" i="16"/>
  <c r="I372" i="16"/>
  <c r="I241" i="16"/>
  <c r="M21" i="17"/>
  <c r="R158" i="16"/>
  <c r="S158" i="16" s="1"/>
  <c r="I268" i="16"/>
  <c r="I385" i="16"/>
  <c r="I247" i="16"/>
  <c r="I376" i="16"/>
  <c r="R157" i="16"/>
  <c r="S157" i="16" s="1"/>
  <c r="R155" i="16"/>
  <c r="S155" i="16" s="1"/>
  <c r="I384" i="16"/>
  <c r="I267" i="16"/>
  <c r="R296" i="16"/>
  <c r="S296" i="16" s="1"/>
  <c r="R154" i="16"/>
  <c r="S154" i="16" s="1"/>
  <c r="I391" i="16"/>
  <c r="I165" i="16"/>
  <c r="I163" i="16"/>
  <c r="I380" i="16"/>
  <c r="I256" i="16"/>
  <c r="I390" i="16"/>
  <c r="R175" i="16"/>
  <c r="O404" i="16"/>
  <c r="O372" i="16"/>
  <c r="O153" i="16"/>
  <c r="O256" i="16"/>
  <c r="O162" i="16"/>
  <c r="O253" i="16"/>
  <c r="O377" i="16"/>
  <c r="O399" i="16"/>
  <c r="O248" i="16"/>
  <c r="O383" i="16"/>
  <c r="O389" i="16"/>
  <c r="O395" i="16"/>
  <c r="O376" i="16"/>
  <c r="O250" i="16"/>
  <c r="O167" i="16"/>
  <c r="O165" i="16"/>
  <c r="O244" i="16"/>
  <c r="O374" i="16"/>
  <c r="O259" i="16"/>
  <c r="O384" i="16"/>
  <c r="O398" i="16"/>
  <c r="O379" i="16"/>
  <c r="O255" i="16"/>
  <c r="O268" i="16"/>
  <c r="O387" i="16"/>
  <c r="O251" i="16"/>
  <c r="O164" i="16"/>
  <c r="O393" i="16"/>
  <c r="O260" i="16"/>
  <c r="O159" i="16"/>
  <c r="O241" i="16"/>
  <c r="O269" i="16"/>
  <c r="O378" i="16"/>
  <c r="O375" i="16"/>
  <c r="O392" i="16"/>
  <c r="O169" i="16"/>
  <c r="O246" i="16"/>
  <c r="O254" i="16"/>
  <c r="O176" i="16"/>
  <c r="O177" i="16" s="1"/>
  <c r="O252" i="16"/>
  <c r="O245" i="16"/>
  <c r="O160" i="16"/>
  <c r="O171" i="16"/>
  <c r="O249" i="16"/>
  <c r="O258" i="16"/>
  <c r="O261" i="16"/>
  <c r="O386" i="16"/>
  <c r="O262" i="16"/>
  <c r="O242" i="16"/>
  <c r="O170" i="16"/>
  <c r="O382" i="16"/>
  <c r="O161" i="16"/>
  <c r="O267" i="16"/>
  <c r="O400" i="16"/>
  <c r="O396" i="16"/>
  <c r="O257" i="16"/>
  <c r="O264" i="16"/>
  <c r="O381" i="16"/>
  <c r="O266" i="16"/>
  <c r="O391" i="16"/>
  <c r="O390" i="16"/>
  <c r="O166" i="16"/>
  <c r="O247" i="16"/>
  <c r="O168" i="16"/>
  <c r="O397" i="16"/>
  <c r="O385" i="16"/>
  <c r="O388" i="16"/>
  <c r="O156" i="16"/>
  <c r="O373" i="16"/>
  <c r="O243" i="16"/>
  <c r="O380" i="16"/>
  <c r="O163" i="16"/>
  <c r="O265" i="16"/>
  <c r="P461" i="16"/>
  <c r="M153" i="16"/>
  <c r="M404" i="16"/>
  <c r="M372" i="16"/>
  <c r="M160" i="16"/>
  <c r="M383" i="16"/>
  <c r="M390" i="16"/>
  <c r="M262" i="16"/>
  <c r="M388" i="16"/>
  <c r="M266" i="16"/>
  <c r="M156" i="16"/>
  <c r="M256" i="16"/>
  <c r="M259" i="16"/>
  <c r="M269" i="16"/>
  <c r="M268" i="16"/>
  <c r="M260" i="16"/>
  <c r="M162" i="16"/>
  <c r="M389" i="16"/>
  <c r="M385" i="16"/>
  <c r="M257" i="16"/>
  <c r="M247" i="16"/>
  <c r="M381" i="16"/>
  <c r="M399" i="16"/>
  <c r="M253" i="16"/>
  <c r="M375" i="16"/>
  <c r="M242" i="16"/>
  <c r="M165" i="16"/>
  <c r="M163" i="16"/>
  <c r="M168" i="16"/>
  <c r="M167" i="16"/>
  <c r="M396" i="16"/>
  <c r="M376" i="16"/>
  <c r="M169" i="16"/>
  <c r="M250" i="16"/>
  <c r="M252" i="16"/>
  <c r="M245" i="16"/>
  <c r="M393" i="16"/>
  <c r="M400" i="16"/>
  <c r="M265" i="16"/>
  <c r="M159" i="16"/>
  <c r="M243" i="16"/>
  <c r="M373" i="16"/>
  <c r="M377" i="16"/>
  <c r="M249" i="16"/>
  <c r="M246" i="16"/>
  <c r="M264" i="16"/>
  <c r="M398" i="16"/>
  <c r="M254" i="16"/>
  <c r="M164" i="16"/>
  <c r="M241" i="16"/>
  <c r="M176" i="16"/>
  <c r="M177" i="16" s="1"/>
  <c r="M392" i="16"/>
  <c r="M378" i="16"/>
  <c r="M161" i="16"/>
  <c r="M386" i="16"/>
  <c r="M384" i="16"/>
  <c r="M395" i="16"/>
  <c r="M170" i="16"/>
  <c r="M374" i="16"/>
  <c r="M379" i="16"/>
  <c r="M166" i="16"/>
  <c r="M261" i="16"/>
  <c r="M380" i="16"/>
  <c r="M397" i="16"/>
  <c r="M387" i="16"/>
  <c r="M258" i="16"/>
  <c r="M171" i="16"/>
  <c r="M248" i="16"/>
  <c r="M255" i="16"/>
  <c r="M244" i="16"/>
  <c r="M251" i="16"/>
  <c r="M391" i="16"/>
  <c r="M382" i="16"/>
  <c r="M267" i="16"/>
  <c r="P172" i="16"/>
  <c r="Q404" i="16"/>
  <c r="Q372" i="16"/>
  <c r="Q153" i="16"/>
  <c r="Q259" i="16"/>
  <c r="Q242" i="16"/>
  <c r="Q373" i="16"/>
  <c r="Q169" i="16"/>
  <c r="Q385" i="16"/>
  <c r="Q170" i="16"/>
  <c r="Q383" i="16"/>
  <c r="Q380" i="16"/>
  <c r="Q268" i="16"/>
  <c r="Q254" i="16"/>
  <c r="Q165" i="16"/>
  <c r="Q393" i="16"/>
  <c r="Q375" i="16"/>
  <c r="Q387" i="16"/>
  <c r="Q265" i="16"/>
  <c r="Q381" i="16"/>
  <c r="Q160" i="16"/>
  <c r="Q171" i="16"/>
  <c r="Q395" i="16"/>
  <c r="Q391" i="16"/>
  <c r="Q397" i="16"/>
  <c r="Q162" i="16"/>
  <c r="Q374" i="16"/>
  <c r="Q244" i="16"/>
  <c r="Q376" i="16"/>
  <c r="Q264" i="16"/>
  <c r="Q396" i="16"/>
  <c r="Q392" i="16"/>
  <c r="Q255" i="16"/>
  <c r="Q167" i="16"/>
  <c r="Q384" i="16"/>
  <c r="Q163" i="16"/>
  <c r="Q400" i="16"/>
  <c r="Q245" i="16"/>
  <c r="Q253" i="16"/>
  <c r="Q399" i="16"/>
  <c r="Q164" i="16"/>
  <c r="Q269" i="16"/>
  <c r="Q250" i="16"/>
  <c r="Q243" i="16"/>
  <c r="Q241" i="16"/>
  <c r="Q156" i="16"/>
  <c r="Q267" i="16"/>
  <c r="Q389" i="16"/>
  <c r="Q388" i="16"/>
  <c r="Q249" i="16"/>
  <c r="Q247" i="16"/>
  <c r="Q168" i="16"/>
  <c r="Q390" i="16"/>
  <c r="Q260" i="16"/>
  <c r="Q257" i="16"/>
  <c r="Q258" i="16"/>
  <c r="Q398" i="16"/>
  <c r="Q176" i="16"/>
  <c r="Q266" i="16"/>
  <c r="Q256" i="16"/>
  <c r="Q386" i="16"/>
  <c r="Q382" i="16"/>
  <c r="Q377" i="16"/>
  <c r="Q246" i="16"/>
  <c r="Q261" i="16"/>
  <c r="Q251" i="16"/>
  <c r="Q166" i="16"/>
  <c r="Q252" i="16"/>
  <c r="Q378" i="16"/>
  <c r="Q161" i="16"/>
  <c r="Q379" i="16"/>
  <c r="Q159" i="16"/>
  <c r="Q248" i="16"/>
  <c r="Q262" i="16"/>
  <c r="H461" i="16" l="1"/>
  <c r="H172" i="16"/>
  <c r="H179" i="16" s="1"/>
  <c r="H181" i="16" s="1"/>
  <c r="L172" i="16"/>
  <c r="L179" i="16" s="1"/>
  <c r="L181" i="16" s="1"/>
  <c r="L461" i="16"/>
  <c r="P179" i="16"/>
  <c r="P181" i="16" s="1"/>
  <c r="R396" i="16"/>
  <c r="S396" i="16" s="1"/>
  <c r="N461" i="16"/>
  <c r="R248" i="16"/>
  <c r="S248" i="16" s="1"/>
  <c r="R389" i="16"/>
  <c r="S389" i="16" s="1"/>
  <c r="R255" i="16"/>
  <c r="S255" i="16" s="1"/>
  <c r="N172" i="16"/>
  <c r="N179" i="16" s="1"/>
  <c r="N181" i="16" s="1"/>
  <c r="J461" i="16"/>
  <c r="K172" i="16"/>
  <c r="K179" i="16" s="1"/>
  <c r="K181" i="16" s="1"/>
  <c r="K461" i="16"/>
  <c r="J172" i="16"/>
  <c r="J179" i="16" s="1"/>
  <c r="J181" i="16" s="1"/>
  <c r="R373" i="16"/>
  <c r="S373" i="16" s="1"/>
  <c r="R242" i="16"/>
  <c r="S242" i="16" s="1"/>
  <c r="R161" i="16"/>
  <c r="S161" i="16" s="1"/>
  <c r="R256" i="16"/>
  <c r="S256" i="16" s="1"/>
  <c r="R249" i="16"/>
  <c r="S249" i="16" s="1"/>
  <c r="R375" i="16"/>
  <c r="S375" i="16" s="1"/>
  <c r="I461" i="16"/>
  <c r="I172" i="16"/>
  <c r="I179" i="16" s="1"/>
  <c r="I181" i="16" s="1"/>
  <c r="R267" i="16"/>
  <c r="S267" i="16" s="1"/>
  <c r="R243" i="16"/>
  <c r="S243" i="16" s="1"/>
  <c r="R400" i="16"/>
  <c r="S400" i="16" s="1"/>
  <c r="R167" i="16"/>
  <c r="S167" i="16" s="1"/>
  <c r="R171" i="16"/>
  <c r="S171" i="16" s="1"/>
  <c r="R377" i="16"/>
  <c r="S377" i="16" s="1"/>
  <c r="R252" i="16"/>
  <c r="S252" i="16" s="1"/>
  <c r="R385" i="16"/>
  <c r="S385" i="16" s="1"/>
  <c r="R380" i="16"/>
  <c r="S380" i="16" s="1"/>
  <c r="R258" i="16"/>
  <c r="S258" i="16" s="1"/>
  <c r="R170" i="16"/>
  <c r="S170" i="16" s="1"/>
  <c r="R241" i="16"/>
  <c r="S241" i="16" s="1"/>
  <c r="R250" i="16"/>
  <c r="S250" i="16" s="1"/>
  <c r="R266" i="16"/>
  <c r="S266" i="16" s="1"/>
  <c r="R153" i="16"/>
  <c r="R382" i="16"/>
  <c r="S382" i="16" s="1"/>
  <c r="R387" i="16"/>
  <c r="S387" i="16" s="1"/>
  <c r="R395" i="16"/>
  <c r="S395" i="16" s="1"/>
  <c r="R164" i="16"/>
  <c r="S164" i="16" s="1"/>
  <c r="R169" i="16"/>
  <c r="S169" i="16" s="1"/>
  <c r="R162" i="16"/>
  <c r="S162" i="16" s="1"/>
  <c r="R388" i="16"/>
  <c r="S388" i="16" s="1"/>
  <c r="R156" i="16"/>
  <c r="S156" i="16" s="1"/>
  <c r="R391" i="16"/>
  <c r="S391" i="16" s="1"/>
  <c r="R397" i="16"/>
  <c r="S397" i="16" s="1"/>
  <c r="R384" i="16"/>
  <c r="S384" i="16" s="1"/>
  <c r="R254" i="16"/>
  <c r="S254" i="16" s="1"/>
  <c r="R159" i="16"/>
  <c r="S159" i="16" s="1"/>
  <c r="R376" i="16"/>
  <c r="S376" i="16" s="1"/>
  <c r="R253" i="16"/>
  <c r="S253" i="16" s="1"/>
  <c r="R260" i="16"/>
  <c r="S260" i="16" s="1"/>
  <c r="R262" i="16"/>
  <c r="S262" i="16" s="1"/>
  <c r="R251" i="16"/>
  <c r="S251" i="16" s="1"/>
  <c r="R386" i="16"/>
  <c r="S386" i="16" s="1"/>
  <c r="R398" i="16"/>
  <c r="S398" i="16" s="1"/>
  <c r="R265" i="16"/>
  <c r="S265" i="16" s="1"/>
  <c r="R399" i="16"/>
  <c r="S399" i="16" s="1"/>
  <c r="R390" i="16"/>
  <c r="S390" i="16" s="1"/>
  <c r="R374" i="16"/>
  <c r="S374" i="16" s="1"/>
  <c r="R244" i="16"/>
  <c r="S244" i="16" s="1"/>
  <c r="R261" i="16"/>
  <c r="S261" i="16" s="1"/>
  <c r="R264" i="16"/>
  <c r="S264" i="16" s="1"/>
  <c r="R381" i="16"/>
  <c r="S381" i="16" s="1"/>
  <c r="R269" i="16"/>
  <c r="S269" i="16" s="1"/>
  <c r="R383" i="16"/>
  <c r="S383" i="16" s="1"/>
  <c r="R176" i="16"/>
  <c r="S176" i="16" s="1"/>
  <c r="R166" i="16"/>
  <c r="S166" i="16" s="1"/>
  <c r="R378" i="16"/>
  <c r="S378" i="16" s="1"/>
  <c r="R246" i="16"/>
  <c r="S246" i="16" s="1"/>
  <c r="R393" i="16"/>
  <c r="S393" i="16" s="1"/>
  <c r="R247" i="16"/>
  <c r="S247" i="16" s="1"/>
  <c r="R259" i="16"/>
  <c r="S259" i="16" s="1"/>
  <c r="R160" i="16"/>
  <c r="S160" i="16" s="1"/>
  <c r="R168" i="16"/>
  <c r="S168" i="16" s="1"/>
  <c r="R268" i="16"/>
  <c r="S268" i="16" s="1"/>
  <c r="R165" i="16"/>
  <c r="S165" i="16" s="1"/>
  <c r="R379" i="16"/>
  <c r="S379" i="16" s="1"/>
  <c r="R392" i="16"/>
  <c r="S392" i="16" s="1"/>
  <c r="R245" i="16"/>
  <c r="S245" i="16" s="1"/>
  <c r="R163" i="16"/>
  <c r="S163" i="16" s="1"/>
  <c r="R257" i="16"/>
  <c r="S257" i="16" s="1"/>
  <c r="R372" i="16"/>
  <c r="S372" i="16" s="1"/>
  <c r="Q461" i="16"/>
  <c r="Q177" i="16"/>
  <c r="S175" i="16"/>
  <c r="R404" i="16"/>
  <c r="M461" i="16"/>
  <c r="O172" i="16"/>
  <c r="O179" i="16" s="1"/>
  <c r="O181" i="16" s="1"/>
  <c r="Q172" i="16"/>
  <c r="M172" i="16"/>
  <c r="M179" i="16" s="1"/>
  <c r="M181" i="16" s="1"/>
  <c r="O461" i="16"/>
  <c r="R461" i="16" l="1"/>
  <c r="R462" i="16" s="1"/>
  <c r="R172" i="16"/>
  <c r="R177" i="16"/>
  <c r="S177" i="16"/>
  <c r="Q179" i="16"/>
  <c r="Q181" i="16" s="1"/>
  <c r="S153" i="16"/>
  <c r="S172" i="16" s="1"/>
  <c r="S404" i="16"/>
  <c r="R179" i="16" l="1"/>
  <c r="R181" i="16" s="1"/>
  <c r="H462" i="16"/>
  <c r="C23" i="17" s="1"/>
  <c r="J462" i="16"/>
  <c r="E23" i="17" s="1"/>
  <c r="O462" i="16"/>
  <c r="J23" i="17" s="1"/>
  <c r="L462" i="16"/>
  <c r="G23" i="17" s="1"/>
  <c r="L317" i="16" s="1"/>
  <c r="M462" i="16"/>
  <c r="H23" i="17" s="1"/>
  <c r="N462" i="16"/>
  <c r="I23" i="17" s="1"/>
  <c r="Q462" i="16"/>
  <c r="L23" i="17" s="1"/>
  <c r="K462" i="16"/>
  <c r="F23" i="17" s="1"/>
  <c r="I462" i="16"/>
  <c r="D23" i="17" s="1"/>
  <c r="P462" i="16"/>
  <c r="K23" i="17" s="1"/>
  <c r="S179" i="16"/>
  <c r="S181" i="16" s="1"/>
  <c r="J317" i="16" l="1"/>
  <c r="J187" i="16"/>
  <c r="J406" i="16"/>
  <c r="J443" i="16"/>
  <c r="J405" i="16"/>
  <c r="J318" i="16"/>
  <c r="J188" i="16"/>
  <c r="J438" i="16"/>
  <c r="J319" i="16"/>
  <c r="J437" i="16"/>
  <c r="J442" i="16"/>
  <c r="J439" i="16"/>
  <c r="J186" i="16"/>
  <c r="O406" i="16"/>
  <c r="O442" i="16"/>
  <c r="O439" i="16"/>
  <c r="J295" i="16"/>
  <c r="Q418" i="16"/>
  <c r="Q414" i="16"/>
  <c r="Q421" i="16"/>
  <c r="Q413" i="16"/>
  <c r="Q412" i="16"/>
  <c r="Q415" i="16"/>
  <c r="Q424" i="16"/>
  <c r="Q416" i="16"/>
  <c r="Q422" i="16"/>
  <c r="Q417" i="16"/>
  <c r="Q419" i="16"/>
  <c r="Q411" i="16"/>
  <c r="Q420" i="16"/>
  <c r="Q423" i="16"/>
  <c r="N417" i="16"/>
  <c r="N411" i="16"/>
  <c r="N414" i="16"/>
  <c r="N420" i="16"/>
  <c r="N412" i="16"/>
  <c r="N422" i="16"/>
  <c r="N423" i="16"/>
  <c r="N415" i="16"/>
  <c r="N413" i="16"/>
  <c r="N418" i="16"/>
  <c r="N421" i="16"/>
  <c r="N424" i="16"/>
  <c r="N416" i="16"/>
  <c r="N419" i="16"/>
  <c r="M422" i="16"/>
  <c r="M414" i="16"/>
  <c r="M418" i="16"/>
  <c r="M421" i="16"/>
  <c r="M417" i="16"/>
  <c r="M416" i="16"/>
  <c r="M411" i="16"/>
  <c r="M420" i="16"/>
  <c r="M412" i="16"/>
  <c r="M413" i="16"/>
  <c r="M423" i="16"/>
  <c r="M415" i="16"/>
  <c r="M419" i="16"/>
  <c r="M424" i="16"/>
  <c r="L419" i="16"/>
  <c r="L411" i="16"/>
  <c r="L423" i="16"/>
  <c r="L422" i="16"/>
  <c r="L414" i="16"/>
  <c r="L417" i="16"/>
  <c r="L415" i="16"/>
  <c r="L421" i="16"/>
  <c r="L413" i="16"/>
  <c r="L424" i="16"/>
  <c r="L420" i="16"/>
  <c r="L412" i="16"/>
  <c r="L416" i="16"/>
  <c r="L418" i="16"/>
  <c r="O187" i="16"/>
  <c r="O420" i="16"/>
  <c r="O412" i="16"/>
  <c r="O416" i="16"/>
  <c r="O414" i="16"/>
  <c r="O417" i="16"/>
  <c r="O423" i="16"/>
  <c r="O415" i="16"/>
  <c r="O418" i="16"/>
  <c r="O421" i="16"/>
  <c r="O413" i="16"/>
  <c r="O424" i="16"/>
  <c r="O419" i="16"/>
  <c r="O411" i="16"/>
  <c r="O422" i="16"/>
  <c r="P423" i="16"/>
  <c r="P415" i="16"/>
  <c r="P411" i="16"/>
  <c r="P414" i="16"/>
  <c r="P418" i="16"/>
  <c r="P421" i="16"/>
  <c r="P413" i="16"/>
  <c r="P422" i="16"/>
  <c r="P424" i="16"/>
  <c r="P416" i="16"/>
  <c r="P419" i="16"/>
  <c r="P417" i="16"/>
  <c r="P412" i="16"/>
  <c r="P420" i="16"/>
  <c r="J421" i="16"/>
  <c r="J413" i="16"/>
  <c r="J420" i="16"/>
  <c r="J424" i="16"/>
  <c r="J416" i="16"/>
  <c r="J417" i="16"/>
  <c r="J419" i="16"/>
  <c r="J411" i="16"/>
  <c r="J422" i="16"/>
  <c r="J414" i="16"/>
  <c r="J412" i="16"/>
  <c r="J418" i="16"/>
  <c r="J423" i="16"/>
  <c r="J415" i="16"/>
  <c r="I418" i="16"/>
  <c r="I417" i="16"/>
  <c r="I421" i="16"/>
  <c r="I413" i="16"/>
  <c r="I414" i="16"/>
  <c r="I420" i="16"/>
  <c r="I424" i="16"/>
  <c r="I416" i="16"/>
  <c r="I415" i="16"/>
  <c r="I419" i="16"/>
  <c r="I411" i="16"/>
  <c r="I422" i="16"/>
  <c r="I412" i="16"/>
  <c r="I423" i="16"/>
  <c r="H442" i="16"/>
  <c r="H423" i="16"/>
  <c r="H415" i="16"/>
  <c r="H418" i="16"/>
  <c r="H414" i="16"/>
  <c r="H421" i="16"/>
  <c r="H413" i="16"/>
  <c r="H419" i="16"/>
  <c r="H417" i="16"/>
  <c r="H420" i="16"/>
  <c r="H424" i="16"/>
  <c r="H416" i="16"/>
  <c r="H411" i="16"/>
  <c r="H422" i="16"/>
  <c r="H412" i="16"/>
  <c r="K424" i="16"/>
  <c r="K416" i="16"/>
  <c r="K420" i="16"/>
  <c r="K418" i="16"/>
  <c r="K421" i="16"/>
  <c r="K419" i="16"/>
  <c r="K411" i="16"/>
  <c r="K423" i="16"/>
  <c r="K422" i="16"/>
  <c r="K414" i="16"/>
  <c r="K417" i="16"/>
  <c r="K412" i="16"/>
  <c r="K415" i="16"/>
  <c r="K413" i="16"/>
  <c r="N405" i="16"/>
  <c r="N429" i="16"/>
  <c r="N432" i="16"/>
  <c r="N431" i="16"/>
  <c r="N435" i="16"/>
  <c r="N427" i="16"/>
  <c r="N434" i="16"/>
  <c r="N430" i="16"/>
  <c r="N433" i="16"/>
  <c r="N436" i="16"/>
  <c r="N428" i="16"/>
  <c r="N426" i="16"/>
  <c r="Q186" i="16"/>
  <c r="Q430" i="16"/>
  <c r="Q432" i="16"/>
  <c r="Q433" i="16"/>
  <c r="Q436" i="16"/>
  <c r="Q428" i="16"/>
  <c r="Q431" i="16"/>
  <c r="Q426" i="16"/>
  <c r="Q427" i="16"/>
  <c r="Q434" i="16"/>
  <c r="Q429" i="16"/>
  <c r="Q435" i="16"/>
  <c r="M188" i="16"/>
  <c r="M434" i="16"/>
  <c r="M426" i="16"/>
  <c r="M429" i="16"/>
  <c r="M432" i="16"/>
  <c r="M435" i="16"/>
  <c r="M427" i="16"/>
  <c r="M428" i="16"/>
  <c r="M430" i="16"/>
  <c r="M431" i="16"/>
  <c r="M433" i="16"/>
  <c r="M436" i="16"/>
  <c r="L431" i="16"/>
  <c r="L434" i="16"/>
  <c r="L426" i="16"/>
  <c r="L436" i="16"/>
  <c r="L428" i="16"/>
  <c r="L429" i="16"/>
  <c r="L432" i="16"/>
  <c r="L435" i="16"/>
  <c r="L427" i="16"/>
  <c r="L430" i="16"/>
  <c r="L433" i="16"/>
  <c r="O186" i="16"/>
  <c r="O432" i="16"/>
  <c r="O426" i="16"/>
  <c r="O435" i="16"/>
  <c r="O427" i="16"/>
  <c r="O434" i="16"/>
  <c r="O430" i="16"/>
  <c r="O433" i="16"/>
  <c r="O436" i="16"/>
  <c r="O428" i="16"/>
  <c r="O431" i="16"/>
  <c r="O429" i="16"/>
  <c r="P435" i="16"/>
  <c r="P427" i="16"/>
  <c r="P430" i="16"/>
  <c r="P433" i="16"/>
  <c r="P436" i="16"/>
  <c r="P428" i="16"/>
  <c r="P432" i="16"/>
  <c r="P431" i="16"/>
  <c r="P429" i="16"/>
  <c r="P434" i="16"/>
  <c r="P426" i="16"/>
  <c r="J433" i="16"/>
  <c r="J435" i="16"/>
  <c r="J436" i="16"/>
  <c r="J428" i="16"/>
  <c r="J427" i="16"/>
  <c r="J431" i="16"/>
  <c r="J430" i="16"/>
  <c r="J434" i="16"/>
  <c r="J426" i="16"/>
  <c r="J429" i="16"/>
  <c r="J432" i="16"/>
  <c r="I430" i="16"/>
  <c r="I433" i="16"/>
  <c r="I426" i="16"/>
  <c r="I436" i="16"/>
  <c r="I428" i="16"/>
  <c r="I431" i="16"/>
  <c r="I432" i="16"/>
  <c r="I434" i="16"/>
  <c r="I435" i="16"/>
  <c r="I427" i="16"/>
  <c r="I429" i="16"/>
  <c r="H405" i="16"/>
  <c r="H435" i="16"/>
  <c r="H427" i="16"/>
  <c r="H429" i="16"/>
  <c r="H430" i="16"/>
  <c r="H432" i="16"/>
  <c r="H433" i="16"/>
  <c r="H436" i="16"/>
  <c r="H428" i="16"/>
  <c r="H431" i="16"/>
  <c r="H434" i="16"/>
  <c r="H426" i="16"/>
  <c r="K317" i="16"/>
  <c r="K436" i="16"/>
  <c r="K428" i="16"/>
  <c r="K433" i="16"/>
  <c r="K431" i="16"/>
  <c r="K434" i="16"/>
  <c r="K426" i="16"/>
  <c r="K429" i="16"/>
  <c r="K432" i="16"/>
  <c r="K435" i="16"/>
  <c r="K427" i="16"/>
  <c r="K430" i="16"/>
  <c r="H437" i="16"/>
  <c r="H318" i="16"/>
  <c r="L437" i="16"/>
  <c r="O438" i="16"/>
  <c r="L406" i="16"/>
  <c r="O318" i="16"/>
  <c r="O437" i="16"/>
  <c r="M186" i="16"/>
  <c r="H186" i="16"/>
  <c r="H295" i="16"/>
  <c r="H187" i="16"/>
  <c r="H188" i="16"/>
  <c r="H406" i="16"/>
  <c r="M442" i="16"/>
  <c r="H319" i="16"/>
  <c r="H317" i="16"/>
  <c r="H438" i="16"/>
  <c r="O443" i="16"/>
  <c r="O317" i="16"/>
  <c r="O188" i="16"/>
  <c r="N187" i="16"/>
  <c r="O405" i="16"/>
  <c r="O319" i="16"/>
  <c r="O295" i="16"/>
  <c r="N442" i="16"/>
  <c r="N317" i="16"/>
  <c r="M405" i="16"/>
  <c r="N319" i="16"/>
  <c r="Q295" i="16"/>
  <c r="M318" i="16"/>
  <c r="N295" i="16"/>
  <c r="N438" i="16"/>
  <c r="N439" i="16"/>
  <c r="N188" i="16"/>
  <c r="N443" i="16"/>
  <c r="N406" i="16"/>
  <c r="Q317" i="16"/>
  <c r="N318" i="16"/>
  <c r="Q438" i="16"/>
  <c r="M437" i="16"/>
  <c r="Q437" i="16"/>
  <c r="N437" i="16"/>
  <c r="N186" i="16"/>
  <c r="Q406" i="16"/>
  <c r="K437" i="16"/>
  <c r="M187" i="16"/>
  <c r="Q319" i="16"/>
  <c r="M317" i="16"/>
  <c r="M443" i="16"/>
  <c r="Q439" i="16"/>
  <c r="Q188" i="16"/>
  <c r="Q442" i="16"/>
  <c r="Q318" i="16"/>
  <c r="M439" i="16"/>
  <c r="H439" i="16"/>
  <c r="M295" i="16"/>
  <c r="M438" i="16"/>
  <c r="Q187" i="16"/>
  <c r="Q443" i="16"/>
  <c r="Q405" i="16"/>
  <c r="M406" i="16"/>
  <c r="H443" i="16"/>
  <c r="M319" i="16"/>
  <c r="L187" i="16"/>
  <c r="L186" i="16"/>
  <c r="L405" i="16"/>
  <c r="L443" i="16"/>
  <c r="L319" i="16"/>
  <c r="L318" i="16"/>
  <c r="L188" i="16"/>
  <c r="L295" i="16"/>
  <c r="L439" i="16"/>
  <c r="L442" i="16"/>
  <c r="L438" i="16"/>
  <c r="K439" i="16"/>
  <c r="K443" i="16"/>
  <c r="M23" i="17"/>
  <c r="K187" i="16"/>
  <c r="K406" i="16"/>
  <c r="K186" i="16"/>
  <c r="K188" i="16"/>
  <c r="K438" i="16"/>
  <c r="K442" i="16"/>
  <c r="K319" i="16"/>
  <c r="K295" i="16"/>
  <c r="K318" i="16"/>
  <c r="K405" i="16"/>
  <c r="I438" i="16"/>
  <c r="I406" i="16"/>
  <c r="I439" i="16"/>
  <c r="I405" i="16"/>
  <c r="I442" i="16"/>
  <c r="I188" i="16"/>
  <c r="I318" i="16"/>
  <c r="I186" i="16"/>
  <c r="I295" i="16"/>
  <c r="I437" i="16"/>
  <c r="I187" i="16"/>
  <c r="I317" i="16"/>
  <c r="I319" i="16"/>
  <c r="I443" i="16"/>
  <c r="P295" i="16"/>
  <c r="P438" i="16"/>
  <c r="P439" i="16"/>
  <c r="P186" i="16"/>
  <c r="P443" i="16"/>
  <c r="P187" i="16"/>
  <c r="P317" i="16"/>
  <c r="P405" i="16"/>
  <c r="P319" i="16"/>
  <c r="P437" i="16"/>
  <c r="P188" i="16"/>
  <c r="P442" i="16"/>
  <c r="P406" i="16"/>
  <c r="P318" i="16"/>
  <c r="J407" i="16"/>
  <c r="J270" i="16" l="1"/>
  <c r="J401" i="16"/>
  <c r="O407" i="16"/>
  <c r="R422" i="16"/>
  <c r="S422" i="16" s="1"/>
  <c r="R421" i="16"/>
  <c r="S421" i="16" s="1"/>
  <c r="R414" i="16"/>
  <c r="S414" i="16" s="1"/>
  <c r="R424" i="16"/>
  <c r="S424" i="16" s="1"/>
  <c r="R412" i="16"/>
  <c r="S412" i="16" s="1"/>
  <c r="R413" i="16"/>
  <c r="S413" i="16" s="1"/>
  <c r="R411" i="16"/>
  <c r="S411" i="16" s="1"/>
  <c r="R416" i="16"/>
  <c r="S416" i="16" s="1"/>
  <c r="R418" i="16"/>
  <c r="S418" i="16" s="1"/>
  <c r="R415" i="16"/>
  <c r="S415" i="16" s="1"/>
  <c r="R420" i="16"/>
  <c r="S420" i="16" s="1"/>
  <c r="R423" i="16"/>
  <c r="S423" i="16" s="1"/>
  <c r="R417" i="16"/>
  <c r="S417" i="16" s="1"/>
  <c r="R419" i="16"/>
  <c r="S419" i="16" s="1"/>
  <c r="O270" i="16"/>
  <c r="R434" i="16"/>
  <c r="S434" i="16" s="1"/>
  <c r="R427" i="16"/>
  <c r="S427" i="16" s="1"/>
  <c r="J440" i="16"/>
  <c r="R431" i="16"/>
  <c r="S431" i="16" s="1"/>
  <c r="R435" i="16"/>
  <c r="S435" i="16" s="1"/>
  <c r="R428" i="16"/>
  <c r="S428" i="16" s="1"/>
  <c r="R436" i="16"/>
  <c r="S436" i="16" s="1"/>
  <c r="R433" i="16"/>
  <c r="S433" i="16" s="1"/>
  <c r="R432" i="16"/>
  <c r="S432" i="16" s="1"/>
  <c r="R430" i="16"/>
  <c r="S430" i="16" s="1"/>
  <c r="R426" i="16"/>
  <c r="S426" i="16" s="1"/>
  <c r="R429" i="16"/>
  <c r="S429" i="16" s="1"/>
  <c r="M407" i="16"/>
  <c r="H270" i="16"/>
  <c r="H401" i="16"/>
  <c r="O440" i="16"/>
  <c r="Q270" i="16"/>
  <c r="M270" i="16"/>
  <c r="Q407" i="16"/>
  <c r="Q401" i="16"/>
  <c r="O401" i="16"/>
  <c r="H407" i="16"/>
  <c r="M440" i="16"/>
  <c r="N401" i="16"/>
  <c r="L440" i="16"/>
  <c r="H440" i="16"/>
  <c r="N407" i="16"/>
  <c r="L270" i="16"/>
  <c r="N270" i="16"/>
  <c r="Q440" i="16"/>
  <c r="N440" i="16"/>
  <c r="L401" i="16"/>
  <c r="M401" i="16"/>
  <c r="L407" i="16"/>
  <c r="R405" i="16"/>
  <c r="S405" i="16" s="1"/>
  <c r="R318" i="16"/>
  <c r="S318" i="16" s="1"/>
  <c r="R317" i="16"/>
  <c r="S317" i="16" s="1"/>
  <c r="K401" i="16"/>
  <c r="R295" i="16"/>
  <c r="S295" i="16" s="1"/>
  <c r="R186" i="16"/>
  <c r="S186" i="16" s="1"/>
  <c r="K270" i="16"/>
  <c r="K440" i="16"/>
  <c r="R437" i="16"/>
  <c r="S437" i="16" s="1"/>
  <c r="R439" i="16"/>
  <c r="S439" i="16" s="1"/>
  <c r="R406" i="16"/>
  <c r="S406" i="16" s="1"/>
  <c r="R443" i="16"/>
  <c r="S443" i="16" s="1"/>
  <c r="R438" i="16"/>
  <c r="S438" i="16" s="1"/>
  <c r="K407" i="16"/>
  <c r="R319" i="16"/>
  <c r="S319" i="16" s="1"/>
  <c r="R188" i="16"/>
  <c r="S188" i="16" s="1"/>
  <c r="R442" i="16"/>
  <c r="S442" i="16" s="1"/>
  <c r="R187" i="16"/>
  <c r="S187" i="16" s="1"/>
  <c r="I440" i="16"/>
  <c r="I407" i="16"/>
  <c r="P401" i="16"/>
  <c r="I401" i="16"/>
  <c r="P440" i="16"/>
  <c r="P407" i="16"/>
  <c r="I270" i="16"/>
  <c r="P270" i="16"/>
  <c r="J445" i="16" l="1"/>
  <c r="J464" i="16" s="1"/>
  <c r="P445" i="16"/>
  <c r="P464" i="16" s="1"/>
  <c r="N445" i="16"/>
  <c r="N464" i="16" s="1"/>
  <c r="M445" i="16"/>
  <c r="M464" i="16" s="1"/>
  <c r="L445" i="16"/>
  <c r="L464" i="16" s="1"/>
  <c r="K445" i="16"/>
  <c r="K464" i="16" s="1"/>
  <c r="H445" i="16"/>
  <c r="H464" i="16" s="1"/>
  <c r="O445" i="16"/>
  <c r="O464" i="16" s="1"/>
  <c r="Q445" i="16"/>
  <c r="Q464" i="16" s="1"/>
  <c r="I445" i="16"/>
  <c r="I464" i="16" s="1"/>
  <c r="S407" i="16"/>
  <c r="S401" i="16"/>
  <c r="R401" i="16"/>
  <c r="S270" i="16"/>
  <c r="R407" i="16"/>
  <c r="S440" i="16"/>
  <c r="R270" i="16"/>
  <c r="R440" i="16"/>
  <c r="S445" i="16" l="1"/>
  <c r="R445" i="16"/>
  <c r="R464" i="16" s="1"/>
  <c r="O465" i="16" s="1"/>
  <c r="J24" i="17" s="1"/>
  <c r="L278" i="16"/>
  <c r="H278" i="16"/>
  <c r="O278" i="16"/>
  <c r="P278" i="16"/>
  <c r="I278" i="16"/>
  <c r="N278" i="16"/>
  <c r="K278" i="16"/>
  <c r="Q278" i="16"/>
  <c r="M278" i="16"/>
  <c r="I465" i="16" l="1"/>
  <c r="D24" i="17" s="1"/>
  <c r="I298" i="16" s="1"/>
  <c r="R465" i="16"/>
  <c r="K465" i="16"/>
  <c r="F24" i="17" s="1"/>
  <c r="M465" i="16"/>
  <c r="H24" i="17" s="1"/>
  <c r="M279" i="16" s="1"/>
  <c r="L465" i="16"/>
  <c r="G24" i="17" s="1"/>
  <c r="N465" i="16"/>
  <c r="I24" i="17" s="1"/>
  <c r="H465" i="16"/>
  <c r="C24" i="17" s="1"/>
  <c r="H280" i="16" s="1"/>
  <c r="Q465" i="16"/>
  <c r="L24" i="17" s="1"/>
  <c r="Q297" i="16" s="1"/>
  <c r="O304" i="16"/>
  <c r="O280" i="16"/>
  <c r="O272" i="16"/>
  <c r="O274" i="16" s="1"/>
  <c r="O297" i="16"/>
  <c r="O298" i="16"/>
  <c r="O279" i="16"/>
  <c r="O286" i="16"/>
  <c r="O287" i="16"/>
  <c r="O288" i="16"/>
  <c r="J465" i="16"/>
  <c r="E24" i="17" s="1"/>
  <c r="J279" i="16" s="1"/>
  <c r="P465" i="16"/>
  <c r="K24" i="17" s="1"/>
  <c r="P280" i="16" s="1"/>
  <c r="J278" i="16"/>
  <c r="R278" i="16" s="1"/>
  <c r="O281" i="16" l="1"/>
  <c r="O283" i="16" s="1"/>
  <c r="O289" i="16"/>
  <c r="O292" i="16" s="1"/>
  <c r="I280" i="16"/>
  <c r="I272" i="16"/>
  <c r="I274" i="16" s="1"/>
  <c r="I286" i="16"/>
  <c r="I304" i="16"/>
  <c r="I287" i="16"/>
  <c r="I279" i="16"/>
  <c r="I288" i="16"/>
  <c r="I297" i="16"/>
  <c r="I299" i="16" s="1"/>
  <c r="I301" i="16" s="1"/>
  <c r="O299" i="16"/>
  <c r="O301" i="16" s="1"/>
  <c r="Q272" i="16"/>
  <c r="Q274" i="16" s="1"/>
  <c r="M287" i="16"/>
  <c r="J297" i="16"/>
  <c r="J272" i="16"/>
  <c r="J274" i="16" s="1"/>
  <c r="J304" i="16"/>
  <c r="J287" i="16"/>
  <c r="M297" i="16"/>
  <c r="M288" i="16"/>
  <c r="M304" i="16"/>
  <c r="P298" i="16"/>
  <c r="Q304" i="16"/>
  <c r="Q279" i="16"/>
  <c r="M272" i="16"/>
  <c r="M274" i="16" s="1"/>
  <c r="P288" i="16"/>
  <c r="Q298" i="16"/>
  <c r="Q299" i="16" s="1"/>
  <c r="Q301" i="16" s="1"/>
  <c r="M286" i="16"/>
  <c r="J288" i="16"/>
  <c r="J280" i="16"/>
  <c r="J281" i="16" s="1"/>
  <c r="M24" i="17"/>
  <c r="M280" i="16"/>
  <c r="M281" i="16" s="1"/>
  <c r="M283" i="16" s="1"/>
  <c r="J286" i="16"/>
  <c r="J298" i="16"/>
  <c r="M298" i="16"/>
  <c r="P272" i="16"/>
  <c r="P274" i="16" s="1"/>
  <c r="P286" i="16"/>
  <c r="P279" i="16"/>
  <c r="P281" i="16" s="1"/>
  <c r="P283" i="16" s="1"/>
  <c r="P297" i="16"/>
  <c r="P287" i="16"/>
  <c r="K304" i="16"/>
  <c r="K279" i="16"/>
  <c r="K288" i="16"/>
  <c r="K298" i="16"/>
  <c r="K280" i="16"/>
  <c r="K286" i="16"/>
  <c r="K272" i="16"/>
  <c r="K274" i="16" s="1"/>
  <c r="K297" i="16"/>
  <c r="K299" i="16" s="1"/>
  <c r="K301" i="16" s="1"/>
  <c r="K287" i="16"/>
  <c r="H286" i="16"/>
  <c r="H288" i="16"/>
  <c r="H287" i="16"/>
  <c r="H304" i="16"/>
  <c r="H297" i="16"/>
  <c r="H279" i="16"/>
  <c r="H281" i="16" s="1"/>
  <c r="H283" i="16" s="1"/>
  <c r="H298" i="16"/>
  <c r="H272" i="16"/>
  <c r="H274" i="16" s="1"/>
  <c r="N279" i="16"/>
  <c r="N297" i="16"/>
  <c r="N298" i="16"/>
  <c r="N286" i="16"/>
  <c r="N288" i="16"/>
  <c r="N304" i="16"/>
  <c r="N280" i="16"/>
  <c r="N287" i="16"/>
  <c r="N272" i="16"/>
  <c r="N274" i="16" s="1"/>
  <c r="L304" i="16"/>
  <c r="L288" i="16"/>
  <c r="L297" i="16"/>
  <c r="L286" i="16"/>
  <c r="L287" i="16"/>
  <c r="L272" i="16"/>
  <c r="L274" i="16" s="1"/>
  <c r="L280" i="16"/>
  <c r="L298" i="16"/>
  <c r="L279" i="16"/>
  <c r="P304" i="16"/>
  <c r="Q287" i="16"/>
  <c r="Q280" i="16"/>
  <c r="Q286" i="16"/>
  <c r="Q288" i="16"/>
  <c r="O308" i="16"/>
  <c r="S278" i="16"/>
  <c r="J289" i="16" l="1"/>
  <c r="J292" i="16" s="1"/>
  <c r="P299" i="16"/>
  <c r="P301" i="16" s="1"/>
  <c r="I281" i="16"/>
  <c r="I283" i="16" s="1"/>
  <c r="I289" i="16"/>
  <c r="I292" i="16" s="1"/>
  <c r="M289" i="16"/>
  <c r="M292" i="16" s="1"/>
  <c r="Q281" i="16"/>
  <c r="Q283" i="16" s="1"/>
  <c r="J299" i="16"/>
  <c r="J301" i="16" s="1"/>
  <c r="M299" i="16"/>
  <c r="M301" i="16" s="1"/>
  <c r="P289" i="16"/>
  <c r="P292" i="16" s="1"/>
  <c r="R304" i="16"/>
  <c r="R279" i="16"/>
  <c r="S279" i="16" s="1"/>
  <c r="R298" i="16"/>
  <c r="S298" i="16" s="1"/>
  <c r="R272" i="16"/>
  <c r="R288" i="16"/>
  <c r="S288" i="16" s="1"/>
  <c r="S289" i="16" s="1"/>
  <c r="N281" i="16"/>
  <c r="N283" i="16" s="1"/>
  <c r="R287" i="16"/>
  <c r="S287" i="16" s="1"/>
  <c r="L299" i="16"/>
  <c r="L301" i="16" s="1"/>
  <c r="N299" i="16"/>
  <c r="N301" i="16" s="1"/>
  <c r="K289" i="16"/>
  <c r="K292" i="16" s="1"/>
  <c r="K281" i="16"/>
  <c r="R297" i="16"/>
  <c r="S297" i="16" s="1"/>
  <c r="S309" i="16" s="1"/>
  <c r="H299" i="16"/>
  <c r="H301" i="16" s="1"/>
  <c r="H289" i="16"/>
  <c r="H292" i="16" s="1"/>
  <c r="L289" i="16"/>
  <c r="L292" i="16" s="1"/>
  <c r="Q289" i="16"/>
  <c r="R286" i="16"/>
  <c r="S286" i="16" s="1"/>
  <c r="L281" i="16"/>
  <c r="N289" i="16"/>
  <c r="R280" i="16"/>
  <c r="J283" i="16"/>
  <c r="J308" i="16" l="1"/>
  <c r="I308" i="16"/>
  <c r="M308" i="16"/>
  <c r="P308" i="16"/>
  <c r="S299" i="16"/>
  <c r="S301" i="16" s="1"/>
  <c r="R289" i="16"/>
  <c r="R292" i="16" s="1"/>
  <c r="S272" i="16"/>
  <c r="S274" i="16" s="1"/>
  <c r="R274" i="16"/>
  <c r="H308" i="16"/>
  <c r="K283" i="16"/>
  <c r="K308" i="16"/>
  <c r="R299" i="16"/>
  <c r="R301" i="16" s="1"/>
  <c r="L283" i="16"/>
  <c r="L308" i="16"/>
  <c r="Q292" i="16"/>
  <c r="Q308" i="16"/>
  <c r="N292" i="16"/>
  <c r="N308" i="16"/>
  <c r="S280" i="16"/>
  <c r="S281" i="16" s="1"/>
  <c r="S283" i="16" s="1"/>
  <c r="R281" i="16"/>
  <c r="R283" i="16" s="1"/>
  <c r="R308" i="16" l="1"/>
  <c r="S308" i="16" l="1"/>
  <c r="S310" i="16" s="1"/>
  <c r="C31" i="20" l="1"/>
  <c r="S10" i="21" l="1"/>
  <c r="S11" i="21" l="1"/>
  <c r="G29" i="21"/>
  <c r="E309" i="16" l="1"/>
  <c r="E310" i="16" s="1"/>
  <c r="S12" i="21"/>
  <c r="N309" i="16" l="1"/>
  <c r="N310" i="16" s="1"/>
  <c r="C21" i="20" s="1"/>
  <c r="J309" i="16"/>
  <c r="J310" i="16" s="1"/>
  <c r="C15" i="20" s="1"/>
  <c r="H309" i="16"/>
  <c r="H310" i="16" s="1"/>
  <c r="C7" i="20" s="1"/>
  <c r="M309" i="16"/>
  <c r="M310" i="16" s="1"/>
  <c r="C20" i="20" s="1"/>
  <c r="O309" i="16"/>
  <c r="O310" i="16" s="1"/>
  <c r="C22" i="20" s="1"/>
  <c r="I309" i="16"/>
  <c r="I310" i="16" s="1"/>
  <c r="C11" i="20" s="1"/>
  <c r="P309" i="16"/>
  <c r="P310" i="16" s="1"/>
  <c r="C23" i="20" s="1"/>
  <c r="G23" i="20" s="1"/>
  <c r="L309" i="16"/>
  <c r="L310" i="16" s="1"/>
  <c r="C19" i="20" s="1"/>
  <c r="Q309" i="16"/>
  <c r="Q310" i="16" s="1"/>
  <c r="C24" i="20" s="1"/>
  <c r="K309" i="16"/>
  <c r="K310" i="16" s="1"/>
  <c r="C18" i="20" s="1"/>
  <c r="K23" i="20" l="1"/>
  <c r="H23" i="20"/>
  <c r="F23" i="20"/>
  <c r="J23" i="20"/>
  <c r="I23" i="20"/>
  <c r="R309" i="16"/>
  <c r="R310" i="16" s="1"/>
  <c r="L23" i="20"/>
  <c r="I24" i="20"/>
  <c r="G24" i="20"/>
  <c r="H24" i="20"/>
  <c r="L24" i="20"/>
  <c r="J24" i="20"/>
  <c r="K24" i="20"/>
  <c r="F24" i="20"/>
  <c r="C26" i="20"/>
  <c r="M23" i="20" l="1"/>
  <c r="O23" i="20" s="1"/>
  <c r="M24" i="20"/>
  <c r="O24" i="20" s="1"/>
  <c r="G25" i="21" l="1"/>
  <c r="P11" i="21"/>
  <c r="Q11" i="21" s="1"/>
  <c r="C38" i="19" l="1"/>
  <c r="C37" i="19"/>
  <c r="C36" i="19"/>
  <c r="C35" i="19"/>
  <c r="C34" i="19"/>
  <c r="C33" i="19"/>
  <c r="C32" i="19"/>
  <c r="C31" i="19"/>
  <c r="C30" i="19"/>
  <c r="B90" i="18" l="1"/>
  <c r="B108" i="18"/>
  <c r="B109" i="18"/>
  <c r="B91" i="18"/>
  <c r="B94" i="18"/>
  <c r="B112" i="18"/>
  <c r="B95" i="18"/>
  <c r="B113" i="18"/>
  <c r="B114" i="18"/>
  <c r="B96" i="18"/>
  <c r="B97" i="18"/>
  <c r="B115" i="18"/>
  <c r="B116" i="18"/>
  <c r="B98" i="18"/>
  <c r="B93" i="18"/>
  <c r="B111" i="18"/>
  <c r="B110" i="18"/>
  <c r="B92" i="18"/>
  <c r="F32" i="19" l="1"/>
  <c r="F38" i="19"/>
  <c r="F37" i="19"/>
  <c r="F34" i="19"/>
  <c r="F33" i="19"/>
  <c r="F31" i="19"/>
  <c r="F35" i="19"/>
  <c r="F30" i="19"/>
  <c r="F36" i="19"/>
  <c r="E93" i="18" l="1"/>
  <c r="E111" i="18"/>
  <c r="E94" i="18"/>
  <c r="E112" i="18"/>
  <c r="E115" i="18"/>
  <c r="E97" i="18"/>
  <c r="E116" i="18"/>
  <c r="E98" i="18"/>
  <c r="E92" i="18"/>
  <c r="E110" i="18"/>
  <c r="E114" i="18"/>
  <c r="E96" i="18"/>
  <c r="E90" i="18"/>
  <c r="E108" i="18"/>
  <c r="E91" i="18"/>
  <c r="E109" i="18"/>
  <c r="E95" i="18"/>
  <c r="E113" i="18"/>
  <c r="F29" i="19"/>
  <c r="E89" i="18" l="1"/>
  <c r="E101" i="18" s="1"/>
  <c r="E107" i="18"/>
  <c r="E119" i="18" s="1"/>
  <c r="F7" i="19" l="1"/>
  <c r="E7" i="19"/>
  <c r="F17" i="19" l="1"/>
  <c r="F8" i="19"/>
  <c r="E17" i="19"/>
  <c r="E8" i="19"/>
  <c r="F25" i="19"/>
  <c r="I30" i="20" s="1"/>
  <c r="I38" i="20" s="1"/>
  <c r="E28" i="18" l="1"/>
  <c r="F11" i="19"/>
  <c r="F12" i="19" s="1"/>
  <c r="E8" i="18"/>
  <c r="E52" i="18"/>
  <c r="E15" i="18"/>
  <c r="D52" i="18"/>
  <c r="D15" i="18"/>
  <c r="D8" i="18"/>
  <c r="D28" i="18"/>
  <c r="E11" i="19"/>
  <c r="E12" i="19" s="1"/>
  <c r="E19" i="19"/>
  <c r="E20" i="19" s="1"/>
  <c r="D41" i="18" s="1"/>
  <c r="D40" i="18"/>
  <c r="E40" i="18"/>
  <c r="F19" i="19"/>
  <c r="F20" i="19" s="1"/>
  <c r="E41" i="18" s="1"/>
  <c r="D53" i="18" l="1"/>
  <c r="E53" i="18"/>
  <c r="E16" i="18"/>
  <c r="E29" i="18"/>
  <c r="D29" i="18"/>
  <c r="D16" i="18"/>
  <c r="G7" i="19" l="1"/>
  <c r="G17" i="19" l="1"/>
  <c r="G8" i="19"/>
  <c r="G11" i="19" l="1"/>
  <c r="G12" i="19" s="1"/>
  <c r="F15" i="18"/>
  <c r="F52" i="18"/>
  <c r="F8" i="18"/>
  <c r="F28" i="18"/>
  <c r="F40" i="18"/>
  <c r="G19" i="19"/>
  <c r="G20" i="19" s="1"/>
  <c r="F41" i="18" s="1"/>
  <c r="E36" i="19"/>
  <c r="D96" i="18" l="1"/>
  <c r="D114" i="18"/>
  <c r="F53" i="18"/>
  <c r="F29" i="18"/>
  <c r="F16" i="18"/>
  <c r="E37" i="19"/>
  <c r="E35" i="19"/>
  <c r="E34" i="19"/>
  <c r="E30" i="19"/>
  <c r="E38" i="19"/>
  <c r="E33" i="19"/>
  <c r="E32" i="19"/>
  <c r="E31" i="19"/>
  <c r="D98" i="18" l="1"/>
  <c r="D116" i="18"/>
  <c r="D111" i="18"/>
  <c r="D93" i="18"/>
  <c r="D94" i="18"/>
  <c r="D112" i="18"/>
  <c r="D95" i="18"/>
  <c r="D113" i="18"/>
  <c r="D115" i="18"/>
  <c r="D97" i="18"/>
  <c r="D109" i="18"/>
  <c r="D91" i="18"/>
  <c r="D108" i="18"/>
  <c r="D90" i="18"/>
  <c r="D110" i="18"/>
  <c r="D92" i="18"/>
  <c r="G37" i="19" l="1"/>
  <c r="G36" i="19"/>
  <c r="F114" i="18" l="1"/>
  <c r="F96" i="18"/>
  <c r="F115" i="18"/>
  <c r="F97" i="18"/>
  <c r="G30" i="19"/>
  <c r="F108" i="18" l="1"/>
  <c r="F90" i="18"/>
  <c r="G31" i="19"/>
  <c r="G34" i="19"/>
  <c r="G29" i="19"/>
  <c r="G33" i="19"/>
  <c r="G32" i="19"/>
  <c r="G35" i="19"/>
  <c r="G38" i="19"/>
  <c r="F109" i="18" l="1"/>
  <c r="F91" i="18"/>
  <c r="F107" i="18"/>
  <c r="F89" i="18"/>
  <c r="F98" i="18"/>
  <c r="F116" i="18"/>
  <c r="F112" i="18"/>
  <c r="F94" i="18"/>
  <c r="F113" i="18"/>
  <c r="F95" i="18"/>
  <c r="F110" i="18"/>
  <c r="F92" i="18"/>
  <c r="F93" i="18"/>
  <c r="F111" i="18"/>
  <c r="F101" i="18" l="1"/>
  <c r="F119" i="18"/>
  <c r="G25" i="19" l="1"/>
  <c r="J30" i="20" s="1"/>
  <c r="J38" i="20" s="1"/>
  <c r="C29" i="19" l="1"/>
  <c r="B89" i="18" l="1"/>
  <c r="B107" i="18"/>
  <c r="B119" i="18" l="1"/>
  <c r="B101" i="18"/>
  <c r="C25" i="19" l="1"/>
  <c r="C7" i="19" l="1"/>
  <c r="F30" i="20"/>
  <c r="C17" i="19" l="1"/>
  <c r="C8" i="19"/>
  <c r="F38" i="20"/>
  <c r="D37" i="19"/>
  <c r="D33" i="19"/>
  <c r="D30" i="19"/>
  <c r="D32" i="19"/>
  <c r="C111" i="18" l="1"/>
  <c r="I111" i="18" s="1"/>
  <c r="C93" i="18"/>
  <c r="I93" i="18" s="1"/>
  <c r="C115" i="18"/>
  <c r="I115" i="18" s="1"/>
  <c r="C97" i="18"/>
  <c r="I97" i="18" s="1"/>
  <c r="C92" i="18"/>
  <c r="I92" i="18" s="1"/>
  <c r="C110" i="18"/>
  <c r="I110" i="18" s="1"/>
  <c r="C11" i="19"/>
  <c r="B52" i="18"/>
  <c r="B8" i="18"/>
  <c r="B15" i="18"/>
  <c r="B28" i="18"/>
  <c r="C90" i="18"/>
  <c r="I90" i="18" s="1"/>
  <c r="C108" i="18"/>
  <c r="I108" i="18" s="1"/>
  <c r="C19" i="19"/>
  <c r="B40" i="18"/>
  <c r="D35" i="19"/>
  <c r="D34" i="19"/>
  <c r="D36" i="19"/>
  <c r="D38" i="19"/>
  <c r="D31" i="19"/>
  <c r="C113" i="18" l="1"/>
  <c r="I113" i="18" s="1"/>
  <c r="C95" i="18"/>
  <c r="I95" i="18" s="1"/>
  <c r="C20" i="19"/>
  <c r="C12" i="19"/>
  <c r="C91" i="18"/>
  <c r="I91" i="18" s="1"/>
  <c r="C109" i="18"/>
  <c r="I109" i="18" s="1"/>
  <c r="C116" i="18"/>
  <c r="I116" i="18" s="1"/>
  <c r="C98" i="18"/>
  <c r="I98" i="18" s="1"/>
  <c r="C114" i="18"/>
  <c r="I114" i="18" s="1"/>
  <c r="C96" i="18"/>
  <c r="I96" i="18" s="1"/>
  <c r="C112" i="18"/>
  <c r="I112" i="18" s="1"/>
  <c r="C94" i="18"/>
  <c r="I94" i="18" s="1"/>
  <c r="B53" i="18"/>
  <c r="D29" i="19"/>
  <c r="C107" i="18" l="1"/>
  <c r="C89" i="18"/>
  <c r="B29" i="18"/>
  <c r="B16" i="18"/>
  <c r="B41" i="18"/>
  <c r="C101" i="18" l="1"/>
  <c r="C119" i="18"/>
  <c r="E29" i="19" l="1"/>
  <c r="D107" i="18" l="1"/>
  <c r="D89" i="18"/>
  <c r="D101" i="18" l="1"/>
  <c r="I89" i="18"/>
  <c r="I101" i="18" s="1"/>
  <c r="D119" i="18"/>
  <c r="I107" i="18"/>
  <c r="I119" i="18" s="1"/>
  <c r="E25" i="19"/>
  <c r="H30" i="20" s="1"/>
  <c r="H38" i="20" s="1"/>
  <c r="D120" i="18" l="1"/>
  <c r="H102" i="18"/>
  <c r="I38" i="17" s="1"/>
  <c r="L21" i="20" s="1"/>
  <c r="G102" i="18"/>
  <c r="H38" i="17" s="1"/>
  <c r="K21" i="20" s="1"/>
  <c r="E102" i="18"/>
  <c r="F102" i="18"/>
  <c r="G38" i="17" s="1"/>
  <c r="J21" i="20" s="1"/>
  <c r="B102" i="18"/>
  <c r="C28" i="25" s="1"/>
  <c r="C102" i="18"/>
  <c r="H120" i="18"/>
  <c r="G120" i="18"/>
  <c r="E120" i="18"/>
  <c r="F120" i="18"/>
  <c r="G39" i="17" s="1"/>
  <c r="J22" i="20" s="1"/>
  <c r="B120" i="18"/>
  <c r="C12" i="25" s="1"/>
  <c r="C120" i="18"/>
  <c r="D102" i="18"/>
  <c r="E38" i="17" l="1"/>
  <c r="H21" i="20" s="1"/>
  <c r="E28" i="25"/>
  <c r="I39" i="17"/>
  <c r="L22" i="20" s="1"/>
  <c r="H12" i="25"/>
  <c r="H13" i="25" s="1"/>
  <c r="C13" i="25"/>
  <c r="D38" i="17"/>
  <c r="G21" i="20" s="1"/>
  <c r="D28" i="25"/>
  <c r="D39" i="17"/>
  <c r="G22" i="20" s="1"/>
  <c r="D12" i="25"/>
  <c r="D13" i="25" s="1"/>
  <c r="F38" i="17"/>
  <c r="I21" i="20" s="1"/>
  <c r="F28" i="25"/>
  <c r="F39" i="17"/>
  <c r="I22" i="20" s="1"/>
  <c r="F12" i="25"/>
  <c r="F13" i="25" s="1"/>
  <c r="H39" i="17"/>
  <c r="K22" i="20" s="1"/>
  <c r="G12" i="25"/>
  <c r="G13" i="25" s="1"/>
  <c r="E39" i="17"/>
  <c r="H22" i="20" s="1"/>
  <c r="E12" i="25"/>
  <c r="E13" i="25" s="1"/>
  <c r="C38" i="17"/>
  <c r="I102" i="18"/>
  <c r="I120" i="18"/>
  <c r="C39" i="17"/>
  <c r="I12" i="25" l="1"/>
  <c r="I13" i="25" s="1"/>
  <c r="I28" i="25"/>
  <c r="J39" i="17"/>
  <c r="F22" i="20"/>
  <c r="M22" i="20" s="1"/>
  <c r="O22" i="20" s="1"/>
  <c r="J38" i="17"/>
  <c r="F21" i="20"/>
  <c r="M21" i="20" s="1"/>
  <c r="O21" i="20" s="1"/>
  <c r="E16" i="21" l="1"/>
  <c r="D16" i="21"/>
  <c r="E21" i="21" l="1"/>
  <c r="E23" i="21" s="1"/>
  <c r="E27" i="21" s="1"/>
  <c r="E34" i="21" s="1"/>
  <c r="D25" i="19"/>
  <c r="D21" i="21" l="1"/>
  <c r="D23" i="21" s="1"/>
  <c r="D27" i="21" s="1"/>
  <c r="D7" i="19"/>
  <c r="G30" i="20"/>
  <c r="J25" i="19"/>
  <c r="G38" i="20" l="1"/>
  <c r="M38" i="20" s="1"/>
  <c r="C30" i="20"/>
  <c r="M30" i="20"/>
  <c r="D8" i="19"/>
  <c r="D17" i="19"/>
  <c r="J7" i="19"/>
  <c r="D19" i="19" l="1"/>
  <c r="C40" i="18"/>
  <c r="J17" i="19"/>
  <c r="D44" i="19" s="1"/>
  <c r="D45" i="19" s="1"/>
  <c r="C45" i="19" s="1"/>
  <c r="C34" i="20"/>
  <c r="C35" i="20" s="1"/>
  <c r="C32" i="20"/>
  <c r="C15" i="18"/>
  <c r="I15" i="18" s="1"/>
  <c r="C52" i="18"/>
  <c r="C28" i="18"/>
  <c r="C8" i="18"/>
  <c r="D11" i="19"/>
  <c r="J8" i="19"/>
  <c r="O30" i="20"/>
  <c r="C53" i="18" l="1"/>
  <c r="I52" i="18"/>
  <c r="B56" i="18"/>
  <c r="B43" i="18"/>
  <c r="D42" i="19"/>
  <c r="I40" i="18"/>
  <c r="I28" i="18"/>
  <c r="D12" i="19"/>
  <c r="J11" i="19"/>
  <c r="I8" i="18"/>
  <c r="C9" i="18" s="1"/>
  <c r="D20" i="19"/>
  <c r="J19" i="19"/>
  <c r="D32" i="17" l="1"/>
  <c r="C20" i="18"/>
  <c r="H9" i="18"/>
  <c r="G9" i="18"/>
  <c r="E9" i="18"/>
  <c r="D9" i="18"/>
  <c r="F9" i="18"/>
  <c r="D18" i="25" s="1"/>
  <c r="D19" i="25" s="1"/>
  <c r="B9" i="18"/>
  <c r="G45" i="18"/>
  <c r="H45" i="18"/>
  <c r="E45" i="18"/>
  <c r="D45" i="18"/>
  <c r="B45" i="18"/>
  <c r="C41" i="18"/>
  <c r="J20" i="19"/>
  <c r="I42" i="19"/>
  <c r="D43" i="19"/>
  <c r="F45" i="18"/>
  <c r="C29" i="18"/>
  <c r="I29" i="18" s="1"/>
  <c r="C16" i="18"/>
  <c r="J12" i="19"/>
  <c r="H58" i="18"/>
  <c r="H60" i="18" s="1"/>
  <c r="H65" i="18" s="1"/>
  <c r="H67" i="18" s="1"/>
  <c r="I37" i="17" s="1"/>
  <c r="L20" i="20" s="1"/>
  <c r="G58" i="18"/>
  <c r="G60" i="18" s="1"/>
  <c r="G65" i="18" s="1"/>
  <c r="G67" i="18" s="1"/>
  <c r="H37" i="17" s="1"/>
  <c r="K20" i="20" s="1"/>
  <c r="D58" i="18"/>
  <c r="E58" i="18"/>
  <c r="F58" i="18"/>
  <c r="B58" i="18"/>
  <c r="C58" i="18"/>
  <c r="C45" i="18"/>
  <c r="I53" i="18"/>
  <c r="C59" i="18" s="1"/>
  <c r="D21" i="25" l="1"/>
  <c r="D22" i="25" s="1"/>
  <c r="G21" i="25"/>
  <c r="G22" i="25" s="1"/>
  <c r="G18" i="25"/>
  <c r="G19" i="25" s="1"/>
  <c r="H18" i="25"/>
  <c r="H19" i="25" s="1"/>
  <c r="H21" i="25"/>
  <c r="H22" i="25" s="1"/>
  <c r="F29" i="25"/>
  <c r="F18" i="25"/>
  <c r="F19" i="25" s="1"/>
  <c r="F21" i="25"/>
  <c r="F22" i="25" s="1"/>
  <c r="C21" i="25"/>
  <c r="C29" i="25"/>
  <c r="C18" i="25"/>
  <c r="D29" i="25"/>
  <c r="E29" i="25"/>
  <c r="E18" i="25"/>
  <c r="E19" i="25" s="1"/>
  <c r="E21" i="25"/>
  <c r="E22" i="25" s="1"/>
  <c r="C60" i="18"/>
  <c r="C65" i="18" s="1"/>
  <c r="C67" i="18" s="1"/>
  <c r="D37" i="17" s="1"/>
  <c r="G20" i="20" s="1"/>
  <c r="C32" i="17"/>
  <c r="I9" i="18"/>
  <c r="B20" i="18"/>
  <c r="G32" i="17"/>
  <c r="F20" i="18"/>
  <c r="E32" i="17"/>
  <c r="D20" i="18"/>
  <c r="I45" i="18"/>
  <c r="E20" i="18"/>
  <c r="F32" i="17"/>
  <c r="I43" i="19"/>
  <c r="C43" i="19"/>
  <c r="B31" i="18" s="1"/>
  <c r="G34" i="18" s="1"/>
  <c r="H32" i="17"/>
  <c r="G20" i="18"/>
  <c r="I32" i="17"/>
  <c r="H20" i="18"/>
  <c r="D59" i="18"/>
  <c r="D60" i="18" s="1"/>
  <c r="D65" i="18" s="1"/>
  <c r="D67" i="18" s="1"/>
  <c r="E37" i="17" s="1"/>
  <c r="H20" i="20" s="1"/>
  <c r="E59" i="18"/>
  <c r="E60" i="18" s="1"/>
  <c r="E65" i="18" s="1"/>
  <c r="E67" i="18" s="1"/>
  <c r="F37" i="17" s="1"/>
  <c r="I20" i="20" s="1"/>
  <c r="F59" i="18"/>
  <c r="F60" i="18" s="1"/>
  <c r="F65" i="18" s="1"/>
  <c r="F67" i="18" s="1"/>
  <c r="G37" i="17" s="1"/>
  <c r="J20" i="20" s="1"/>
  <c r="B59" i="18"/>
  <c r="B60" i="18" s="1"/>
  <c r="I41" i="18"/>
  <c r="I16" i="18"/>
  <c r="I58" i="18"/>
  <c r="E34" i="18"/>
  <c r="G16" i="20"/>
  <c r="G8" i="20"/>
  <c r="G12" i="20"/>
  <c r="D34" i="18" l="1"/>
  <c r="H34" i="18"/>
  <c r="C22" i="25"/>
  <c r="I21" i="25"/>
  <c r="I22" i="25" s="1"/>
  <c r="I59" i="18"/>
  <c r="C19" i="25"/>
  <c r="I18" i="25"/>
  <c r="I19" i="25" s="1"/>
  <c r="I29" i="25"/>
  <c r="H21" i="18"/>
  <c r="G21" i="18"/>
  <c r="G22" i="18" s="1"/>
  <c r="H33" i="17" s="1"/>
  <c r="D21" i="18"/>
  <c r="D22" i="18" s="1"/>
  <c r="E33" i="17" s="1"/>
  <c r="E21" i="18"/>
  <c r="E22" i="18" s="1"/>
  <c r="F33" i="17" s="1"/>
  <c r="F21" i="18"/>
  <c r="B21" i="18"/>
  <c r="L12" i="20"/>
  <c r="L16" i="20"/>
  <c r="L8" i="20"/>
  <c r="G46" i="18"/>
  <c r="G47" i="18" s="1"/>
  <c r="H46" i="18"/>
  <c r="H47" i="18" s="1"/>
  <c r="D46" i="18"/>
  <c r="D47" i="18" s="1"/>
  <c r="E46" i="18"/>
  <c r="E47" i="18" s="1"/>
  <c r="F46" i="18"/>
  <c r="F47" i="18" s="1"/>
  <c r="B46" i="18"/>
  <c r="C46" i="18"/>
  <c r="C47" i="18" s="1"/>
  <c r="K8" i="20"/>
  <c r="K12" i="20"/>
  <c r="K16" i="20"/>
  <c r="H8" i="20"/>
  <c r="H16" i="20"/>
  <c r="H12" i="20"/>
  <c r="C34" i="18"/>
  <c r="E33" i="18"/>
  <c r="E35" i="18" s="1"/>
  <c r="F33" i="18"/>
  <c r="C33" i="18"/>
  <c r="B33" i="18"/>
  <c r="D33" i="18"/>
  <c r="D35" i="18" s="1"/>
  <c r="H33" i="18"/>
  <c r="H35" i="18" s="1"/>
  <c r="G33" i="18"/>
  <c r="G35" i="18" s="1"/>
  <c r="F22" i="18"/>
  <c r="G33" i="17" s="1"/>
  <c r="J16" i="20"/>
  <c r="J8" i="20"/>
  <c r="J12" i="20"/>
  <c r="I8" i="20"/>
  <c r="I16" i="20"/>
  <c r="I12" i="20"/>
  <c r="I20" i="18"/>
  <c r="B22" i="18"/>
  <c r="I60" i="18"/>
  <c r="B65" i="18"/>
  <c r="B34" i="18"/>
  <c r="F34" i="18"/>
  <c r="C21" i="18"/>
  <c r="C22" i="18" s="1"/>
  <c r="D33" i="17" s="1"/>
  <c r="H22" i="18"/>
  <c r="I33" i="17" s="1"/>
  <c r="J32" i="17"/>
  <c r="F8" i="20"/>
  <c r="F12" i="20"/>
  <c r="F16" i="20"/>
  <c r="C35" i="18" l="1"/>
  <c r="H35" i="17"/>
  <c r="K18" i="20" s="1"/>
  <c r="G72" i="18"/>
  <c r="F73" i="18"/>
  <c r="G36" i="17"/>
  <c r="J19" i="20" s="1"/>
  <c r="F36" i="17"/>
  <c r="I19" i="20" s="1"/>
  <c r="E73" i="18"/>
  <c r="G15" i="20"/>
  <c r="G7" i="20"/>
  <c r="G11" i="20"/>
  <c r="D72" i="18"/>
  <c r="E35" i="17"/>
  <c r="H18" i="20" s="1"/>
  <c r="D73" i="18"/>
  <c r="E36" i="17"/>
  <c r="H19" i="20" s="1"/>
  <c r="I21" i="18"/>
  <c r="I34" i="18"/>
  <c r="I33" i="18"/>
  <c r="B35" i="18"/>
  <c r="I36" i="17"/>
  <c r="L19" i="20" s="1"/>
  <c r="H73" i="18"/>
  <c r="I35" i="17"/>
  <c r="L18" i="20" s="1"/>
  <c r="H72" i="18"/>
  <c r="I15" i="20"/>
  <c r="I7" i="20"/>
  <c r="I11" i="20"/>
  <c r="C72" i="18"/>
  <c r="D35" i="17"/>
  <c r="G18" i="20" s="1"/>
  <c r="G73" i="18"/>
  <c r="H36" i="17"/>
  <c r="K19" i="20" s="1"/>
  <c r="L15" i="20"/>
  <c r="L7" i="20"/>
  <c r="L11" i="20"/>
  <c r="M16" i="20"/>
  <c r="O16" i="20" s="1"/>
  <c r="F35" i="18"/>
  <c r="H11" i="20"/>
  <c r="H7" i="20"/>
  <c r="H15" i="20"/>
  <c r="M12" i="20"/>
  <c r="O12" i="20" s="1"/>
  <c r="B67" i="18"/>
  <c r="I65" i="18"/>
  <c r="F35" i="17"/>
  <c r="I18" i="20" s="1"/>
  <c r="E72" i="18"/>
  <c r="C73" i="18"/>
  <c r="D36" i="17"/>
  <c r="G19" i="20" s="1"/>
  <c r="K15" i="20"/>
  <c r="K7" i="20"/>
  <c r="K11" i="20"/>
  <c r="M8" i="20"/>
  <c r="O8" i="20" s="1"/>
  <c r="C33" i="17"/>
  <c r="I22" i="18"/>
  <c r="J11" i="20"/>
  <c r="J15" i="20"/>
  <c r="J7" i="20"/>
  <c r="I46" i="18"/>
  <c r="B47" i="18"/>
  <c r="E78" i="18" l="1"/>
  <c r="F9" i="25" s="1"/>
  <c r="F10" i="25" s="1"/>
  <c r="F24" i="25" s="1"/>
  <c r="H78" i="18"/>
  <c r="H9" i="25" s="1"/>
  <c r="H10" i="25" s="1"/>
  <c r="H24" i="25" s="1"/>
  <c r="G26" i="20"/>
  <c r="I26" i="20"/>
  <c r="C37" i="17"/>
  <c r="I67" i="18"/>
  <c r="K26" i="20"/>
  <c r="L26" i="20"/>
  <c r="F7" i="20"/>
  <c r="J33" i="17"/>
  <c r="F11" i="20"/>
  <c r="M11" i="20" s="1"/>
  <c r="O11" i="20" s="1"/>
  <c r="F15" i="20"/>
  <c r="M15" i="20" s="1"/>
  <c r="O15" i="20" s="1"/>
  <c r="H26" i="20"/>
  <c r="D78" i="18"/>
  <c r="E9" i="25" s="1"/>
  <c r="E10" i="25" s="1"/>
  <c r="E24" i="25" s="1"/>
  <c r="G78" i="18"/>
  <c r="G9" i="25" s="1"/>
  <c r="G10" i="25" s="1"/>
  <c r="G24" i="25" s="1"/>
  <c r="I47" i="18"/>
  <c r="B73" i="18"/>
  <c r="I73" i="18" s="1"/>
  <c r="C36" i="17"/>
  <c r="G35" i="17"/>
  <c r="J18" i="20" s="1"/>
  <c r="J26" i="20" s="1"/>
  <c r="F72" i="18"/>
  <c r="F78" i="18" s="1"/>
  <c r="C78" i="18"/>
  <c r="B72" i="18"/>
  <c r="I35" i="18"/>
  <c r="C35" i="17"/>
  <c r="D9" i="25" l="1"/>
  <c r="D10" i="25" s="1"/>
  <c r="D24" i="25" s="1"/>
  <c r="G32" i="25"/>
  <c r="G39" i="25" s="1"/>
  <c r="C32" i="25"/>
  <c r="F32" i="25"/>
  <c r="E32" i="25"/>
  <c r="D32" i="25"/>
  <c r="F33" i="25"/>
  <c r="D33" i="25"/>
  <c r="E33" i="25"/>
  <c r="C33" i="25"/>
  <c r="C36" i="25"/>
  <c r="F36" i="25"/>
  <c r="E36" i="25"/>
  <c r="D36" i="25"/>
  <c r="F37" i="25"/>
  <c r="E37" i="25"/>
  <c r="C37" i="25"/>
  <c r="D37" i="25"/>
  <c r="J34" i="20"/>
  <c r="J39" i="20" s="1"/>
  <c r="J35" i="20"/>
  <c r="L34" i="20"/>
  <c r="F18" i="20"/>
  <c r="M18" i="20" s="1"/>
  <c r="O18" i="20" s="1"/>
  <c r="J35" i="17"/>
  <c r="I72" i="18"/>
  <c r="B78" i="18"/>
  <c r="J41" i="20"/>
  <c r="K35" i="20"/>
  <c r="I41" i="20"/>
  <c r="F41" i="20"/>
  <c r="G41" i="20"/>
  <c r="H41" i="20"/>
  <c r="K34" i="20"/>
  <c r="K39" i="20" s="1"/>
  <c r="H35" i="20"/>
  <c r="H34" i="20"/>
  <c r="H39" i="20" s="1"/>
  <c r="M7" i="20"/>
  <c r="J37" i="17"/>
  <c r="F20" i="20"/>
  <c r="M20" i="20" s="1"/>
  <c r="O20" i="20" s="1"/>
  <c r="I34" i="20"/>
  <c r="I39" i="20" s="1"/>
  <c r="I35" i="20"/>
  <c r="F19" i="20"/>
  <c r="M19" i="20" s="1"/>
  <c r="O19" i="20" s="1"/>
  <c r="J36" i="17"/>
  <c r="G34" i="20"/>
  <c r="G39" i="20" s="1"/>
  <c r="G35" i="20"/>
  <c r="F39" i="25" l="1"/>
  <c r="D39" i="25"/>
  <c r="E39" i="25"/>
  <c r="I78" i="18"/>
  <c r="C9" i="25"/>
  <c r="O7" i="20"/>
  <c r="M26" i="20"/>
  <c r="K41" i="20"/>
  <c r="F26" i="20"/>
  <c r="L39" i="20"/>
  <c r="H40" i="20"/>
  <c r="F40" i="20"/>
  <c r="I40" i="20"/>
  <c r="G40" i="20"/>
  <c r="J40" i="20"/>
  <c r="M41" i="20" l="1"/>
  <c r="K46" i="20"/>
  <c r="K47" i="20" s="1"/>
  <c r="H43" i="20"/>
  <c r="M10" i="21" s="1"/>
  <c r="H46" i="20"/>
  <c r="H47" i="20" s="1"/>
  <c r="J43" i="20"/>
  <c r="O10" i="21" s="1"/>
  <c r="J46" i="20"/>
  <c r="J47" i="20" s="1"/>
  <c r="G43" i="20"/>
  <c r="G44" i="20" s="1"/>
  <c r="G46" i="20"/>
  <c r="G47" i="20" s="1"/>
  <c r="I43" i="20"/>
  <c r="N10" i="21" s="1"/>
  <c r="I46" i="20"/>
  <c r="I47" i="20" s="1"/>
  <c r="F46" i="20"/>
  <c r="F47" i="20" s="1"/>
  <c r="I9" i="25"/>
  <c r="C10" i="25"/>
  <c r="F35" i="20"/>
  <c r="F34" i="20"/>
  <c r="F27" i="20"/>
  <c r="O26" i="20"/>
  <c r="K27" i="20"/>
  <c r="J27" i="20"/>
  <c r="I27" i="20"/>
  <c r="H27" i="20"/>
  <c r="G27" i="20"/>
  <c r="L27" i="20"/>
  <c r="L40" i="20"/>
  <c r="M40" i="20" s="1"/>
  <c r="I44" i="20"/>
  <c r="K42" i="20"/>
  <c r="F42" i="20" s="1"/>
  <c r="M42" i="20" s="1"/>
  <c r="H44" i="20" l="1"/>
  <c r="J44" i="20"/>
  <c r="L10" i="21"/>
  <c r="I10" i="25"/>
  <c r="I24" i="25" s="1"/>
  <c r="C24" i="25"/>
  <c r="C39" i="25" s="1"/>
  <c r="L43" i="20"/>
  <c r="F39" i="20"/>
  <c r="M34" i="20"/>
  <c r="K43" i="20"/>
  <c r="I39" i="25" l="1"/>
  <c r="P10" i="21"/>
  <c r="P12" i="21" s="1"/>
  <c r="K44" i="20"/>
  <c r="O34" i="20"/>
  <c r="M35" i="20"/>
  <c r="F43" i="20"/>
  <c r="M39" i="20"/>
  <c r="M43" i="20" s="1"/>
  <c r="M44" i="20" s="1"/>
  <c r="D41" i="25" l="1"/>
  <c r="F41" i="25"/>
  <c r="G41" i="25"/>
  <c r="E41" i="25"/>
  <c r="C41" i="25"/>
  <c r="F44" i="20"/>
  <c r="K10" i="21"/>
  <c r="N27" i="21" l="1"/>
  <c r="P24" i="21" s="1"/>
  <c r="K12" i="21"/>
  <c r="I41" i="25"/>
  <c r="Q10" i="21"/>
  <c r="T10" i="21" s="1"/>
  <c r="O20" i="21" l="1"/>
  <c r="O23" i="21"/>
  <c r="O22" i="21"/>
  <c r="O21" i="21"/>
  <c r="G31" i="21"/>
  <c r="G32" i="21"/>
  <c r="G20" i="21" l="1"/>
  <c r="G19" i="21"/>
  <c r="M12" i="21"/>
  <c r="F21" i="21" l="1"/>
  <c r="G21" i="21" s="1"/>
  <c r="G13" i="21"/>
  <c r="G14" i="21"/>
  <c r="N12" i="21"/>
  <c r="O12" i="21"/>
  <c r="G15" i="21"/>
  <c r="G12" i="21"/>
  <c r="L12" i="21"/>
  <c r="G11" i="21"/>
  <c r="F16" i="21"/>
  <c r="G18" i="21" l="1"/>
  <c r="G16" i="21"/>
  <c r="G23" i="21" s="1"/>
  <c r="G27" i="21" s="1"/>
  <c r="F23" i="21"/>
  <c r="F27" i="21" s="1"/>
  <c r="F34" i="21" s="1"/>
  <c r="G34" i="21" s="1"/>
  <c r="Q12" i="21" l="1"/>
  <c r="T11" i="21" l="1"/>
  <c r="T12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pajarim</author>
  </authors>
  <commentList>
    <comment ref="C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pajarim:</t>
        </r>
        <r>
          <rPr>
            <sz val="9"/>
            <color indexed="81"/>
            <rFont val="Tahoma"/>
            <family val="2"/>
          </rPr>
          <t xml:space="preserve">
Source:  2019 IA IUB Report</t>
        </r>
      </text>
    </comment>
    <comment ref="C54" authorId="0" shapeId="0" xr:uid="{20B32857-0AD9-45E7-9F5B-C1B7F68F5A00}">
      <text>
        <r>
          <rPr>
            <b/>
            <sz val="9"/>
            <color indexed="81"/>
            <rFont val="Tahoma"/>
            <family val="2"/>
          </rPr>
          <t>pajarim:</t>
        </r>
        <r>
          <rPr>
            <sz val="9"/>
            <color indexed="81"/>
            <rFont val="Tahoma"/>
            <family val="2"/>
          </rPr>
          <t xml:space="preserve">
From IA IUB 2019 Report  12,082,301 Gallons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pajarim</author>
  </authors>
  <commentList>
    <comment ref="P49" authorId="0" shapeId="0" xr:uid="{6A2CBB4B-B17B-4023-8110-EC1FB96E73A6}">
      <text>
        <r>
          <rPr>
            <b/>
            <sz val="9"/>
            <color indexed="81"/>
            <rFont val="Tahoma"/>
            <family val="2"/>
          </rPr>
          <t>pajarim:</t>
        </r>
        <r>
          <rPr>
            <sz val="9"/>
            <color indexed="81"/>
            <rFont val="Tahoma"/>
            <family val="2"/>
          </rPr>
          <t xml:space="preserve">
count is monthly count</t>
        </r>
      </text>
    </comment>
  </commentList>
</comments>
</file>

<file path=xl/sharedStrings.xml><?xml version="1.0" encoding="utf-8"?>
<sst xmlns="http://schemas.openxmlformats.org/spreadsheetml/2006/main" count="18213" uniqueCount="8253">
  <si>
    <t>Depreciation</t>
  </si>
  <si>
    <t>G/L Account</t>
  </si>
  <si>
    <t>Labor</t>
  </si>
  <si>
    <t>Purchased Water</t>
  </si>
  <si>
    <t>Fuel for Power Production</t>
  </si>
  <si>
    <t>Contract Services - Other</t>
  </si>
  <si>
    <t>Transportation</t>
  </si>
  <si>
    <t>Miscellaneous</t>
  </si>
  <si>
    <t>Maintenance Expense</t>
  </si>
  <si>
    <t>Water Treatment</t>
  </si>
  <si>
    <t>Materials &amp; Supplies</t>
  </si>
  <si>
    <t>Waste Disposal</t>
  </si>
  <si>
    <t>Chemicals</t>
  </si>
  <si>
    <t>Contract Services - Eng</t>
  </si>
  <si>
    <t>Uncollectible Accounts</t>
  </si>
  <si>
    <t>Postage</t>
  </si>
  <si>
    <t>Contract Services - Accounting</t>
  </si>
  <si>
    <t>Contract Services - Legal</t>
  </si>
  <si>
    <t>Advertising</t>
  </si>
  <si>
    <t>Property Taxes</t>
  </si>
  <si>
    <t>Intangible Plant</t>
  </si>
  <si>
    <t>Organization</t>
  </si>
  <si>
    <t>Franchises</t>
  </si>
  <si>
    <t>Source of Supply</t>
  </si>
  <si>
    <t>Wells &amp; Springs</t>
  </si>
  <si>
    <t>Supply Mains</t>
  </si>
  <si>
    <t>Fire Mains</t>
  </si>
  <si>
    <t>Services</t>
  </si>
  <si>
    <t>Meters</t>
  </si>
  <si>
    <t>Meter Installations</t>
  </si>
  <si>
    <t>Hydrants</t>
  </si>
  <si>
    <t>General Plant</t>
  </si>
  <si>
    <t>Stores Equipment</t>
  </si>
  <si>
    <t>Laboratory Equipment</t>
  </si>
  <si>
    <t>Power Operated Equipment</t>
  </si>
  <si>
    <t>Misc Equipment</t>
  </si>
  <si>
    <t>Other Tangible Property</t>
  </si>
  <si>
    <t>Amortization Expense</t>
  </si>
  <si>
    <t>Income Taxes</t>
  </si>
  <si>
    <t>Advances for Construction - NT Mains</t>
  </si>
  <si>
    <t>Advances for Construction - NT Hydrants</t>
  </si>
  <si>
    <t>Advances for Construction - NT WIP</t>
  </si>
  <si>
    <t>CIAC-Non Taxable -  Mains</t>
  </si>
  <si>
    <t>CIAC-Non Taxable -  Ext Dep</t>
  </si>
  <si>
    <t>CIAC-Non Taxable -  Services</t>
  </si>
  <si>
    <t>CIAC-Non Taxable -  Meters</t>
  </si>
  <si>
    <t>CIAC-Non Taxable -  Hydrants</t>
  </si>
  <si>
    <t>CIAC-Non Taxable -  Other</t>
  </si>
  <si>
    <t>CIAC-Non Taxable -  WIP</t>
  </si>
  <si>
    <t>CIAC-Taxable - Mains</t>
  </si>
  <si>
    <t>CIAC-Taxable - Services</t>
  </si>
  <si>
    <t>CIAC-Taxable - Meters</t>
  </si>
  <si>
    <t>CIAC-Taxable - Hydrants</t>
  </si>
  <si>
    <t>CIAC-Taxable - Other</t>
  </si>
  <si>
    <t>CIAC-Taxable - WIP</t>
  </si>
  <si>
    <t>Accum Amort CIAC - Other</t>
  </si>
  <si>
    <t>Accum Amort CIAC - Tax</t>
  </si>
  <si>
    <t>2020 Cost of Service Study - Account Detail</t>
  </si>
  <si>
    <t>FUTA</t>
  </si>
  <si>
    <t>FICA</t>
  </si>
  <si>
    <t>SUTA</t>
  </si>
  <si>
    <t>Other Taxes and Licenses</t>
  </si>
  <si>
    <t>Gross Receipts Tax</t>
  </si>
  <si>
    <t>Utility Reg Assessment</t>
  </si>
  <si>
    <t>Revenues</t>
  </si>
  <si>
    <t>Residential</t>
  </si>
  <si>
    <t>Industrial</t>
  </si>
  <si>
    <t>Public Fire</t>
  </si>
  <si>
    <t>Private Fire</t>
  </si>
  <si>
    <t>Sales for Resale</t>
  </si>
  <si>
    <t>Commercial</t>
  </si>
  <si>
    <t>Customer Related</t>
  </si>
  <si>
    <t>G/L Acct</t>
  </si>
  <si>
    <t>GL Account</t>
  </si>
  <si>
    <t>FStGroup</t>
  </si>
  <si>
    <t>Alt. Acct</t>
  </si>
  <si>
    <t>0010130100</t>
  </si>
  <si>
    <t>GENL</t>
  </si>
  <si>
    <t>0010130200</t>
  </si>
  <si>
    <t>0010130320</t>
  </si>
  <si>
    <t>0010130330</t>
  </si>
  <si>
    <t>0010130340</t>
  </si>
  <si>
    <t>0010130350</t>
  </si>
  <si>
    <t>0010130360</t>
  </si>
  <si>
    <t>0010130410</t>
  </si>
  <si>
    <t>0010130420</t>
  </si>
  <si>
    <t>0010130430</t>
  </si>
  <si>
    <t>0010130440</t>
  </si>
  <si>
    <t>0010130450</t>
  </si>
  <si>
    <t>0010130500</t>
  </si>
  <si>
    <t>0010130600</t>
  </si>
  <si>
    <t>0010130700</t>
  </si>
  <si>
    <t>0010130800</t>
  </si>
  <si>
    <t>0010130900</t>
  </si>
  <si>
    <t>0010131000</t>
  </si>
  <si>
    <t>0010131020</t>
  </si>
  <si>
    <t>0010131110</t>
  </si>
  <si>
    <t>0010131120</t>
  </si>
  <si>
    <t>0010131130</t>
  </si>
  <si>
    <t>0010131140</t>
  </si>
  <si>
    <t>0010131150</t>
  </si>
  <si>
    <t>0010131152</t>
  </si>
  <si>
    <t>0010131153</t>
  </si>
  <si>
    <t>0010131154</t>
  </si>
  <si>
    <t>0010132010</t>
  </si>
  <si>
    <t>0010133000</t>
  </si>
  <si>
    <t>0010133100</t>
  </si>
  <si>
    <t>0010133200</t>
  </si>
  <si>
    <t>0010133300</t>
  </si>
  <si>
    <t>0010133410</t>
  </si>
  <si>
    <t>0010133420</t>
  </si>
  <si>
    <t>0010133500</t>
  </si>
  <si>
    <t>0010133600</t>
  </si>
  <si>
    <t>0010133910</t>
  </si>
  <si>
    <t>0010133920</t>
  </si>
  <si>
    <t>0010133930</t>
  </si>
  <si>
    <t>0010133950</t>
  </si>
  <si>
    <t>0010134010</t>
  </si>
  <si>
    <t>0010134100</t>
  </si>
  <si>
    <t>0010134200</t>
  </si>
  <si>
    <t>0010134300</t>
  </si>
  <si>
    <t>0010134400</t>
  </si>
  <si>
    <t>0010134500</t>
  </si>
  <si>
    <t>0010134600</t>
  </si>
  <si>
    <t>0010134700</t>
  </si>
  <si>
    <t>0010134800</t>
  </si>
  <si>
    <t>0010135100</t>
  </si>
  <si>
    <t>0010135200</t>
  </si>
  <si>
    <t>0010135220</t>
  </si>
  <si>
    <t>0010135320</t>
  </si>
  <si>
    <t>0010135330</t>
  </si>
  <si>
    <t>0010135340</t>
  </si>
  <si>
    <t>0010135350</t>
  </si>
  <si>
    <t>0010135420</t>
  </si>
  <si>
    <t>0010135430</t>
  </si>
  <si>
    <t>0010135440</t>
  </si>
  <si>
    <t>0010135450</t>
  </si>
  <si>
    <t>0010135520</t>
  </si>
  <si>
    <t>0010135530</t>
  </si>
  <si>
    <t>0010135540</t>
  </si>
  <si>
    <t>0010135550</t>
  </si>
  <si>
    <t>0010135560</t>
  </si>
  <si>
    <t>0010136000</t>
  </si>
  <si>
    <t>0010136110</t>
  </si>
  <si>
    <t>0010136200</t>
  </si>
  <si>
    <t>0010136300</t>
  </si>
  <si>
    <t>0010136400</t>
  </si>
  <si>
    <t>0010136500</t>
  </si>
  <si>
    <t>0010137000</t>
  </si>
  <si>
    <t>0010137110</t>
  </si>
  <si>
    <t>0010137120</t>
  </si>
  <si>
    <t>0010138000</t>
  </si>
  <si>
    <t>0010138100</t>
  </si>
  <si>
    <t>0010138200</t>
  </si>
  <si>
    <t>0010138910</t>
  </si>
  <si>
    <t>0010138920</t>
  </si>
  <si>
    <t>0010138930</t>
  </si>
  <si>
    <t>0010138940</t>
  </si>
  <si>
    <t>0010139000</t>
  </si>
  <si>
    <t>0010139100</t>
  </si>
  <si>
    <t>0010139200</t>
  </si>
  <si>
    <t>0010139300</t>
  </si>
  <si>
    <t>0010139400</t>
  </si>
  <si>
    <t>0010139500</t>
  </si>
  <si>
    <t>0010139600</t>
  </si>
  <si>
    <t>0010139700</t>
  </si>
  <si>
    <t>0010139800</t>
  </si>
  <si>
    <t>0010190000</t>
  </si>
  <si>
    <t>0010230100</t>
  </si>
  <si>
    <t>0010230320</t>
  </si>
  <si>
    <t>0010230330</t>
  </si>
  <si>
    <t>0010230340</t>
  </si>
  <si>
    <t>0010230350</t>
  </si>
  <si>
    <t>0010230360</t>
  </si>
  <si>
    <t>0010230410</t>
  </si>
  <si>
    <t>0010230420</t>
  </si>
  <si>
    <t>0010230430</t>
  </si>
  <si>
    <t>0010230440</t>
  </si>
  <si>
    <t>0010230450</t>
  </si>
  <si>
    <t>0010230500</t>
  </si>
  <si>
    <t>0010230600</t>
  </si>
  <si>
    <t>0010230900</t>
  </si>
  <si>
    <t>0010231000</t>
  </si>
  <si>
    <t>0010231120</t>
  </si>
  <si>
    <t>0010232010</t>
  </si>
  <si>
    <t>0010233000</t>
  </si>
  <si>
    <t>0010233100</t>
  </si>
  <si>
    <t>0010233300</t>
  </si>
  <si>
    <t>0010233410</t>
  </si>
  <si>
    <t>0010233420</t>
  </si>
  <si>
    <t>0010233500</t>
  </si>
  <si>
    <t>0010233950</t>
  </si>
  <si>
    <t>0010234010</t>
  </si>
  <si>
    <t>0010234100</t>
  </si>
  <si>
    <t>0010234200</t>
  </si>
  <si>
    <t>0010234300</t>
  </si>
  <si>
    <t>0010234400</t>
  </si>
  <si>
    <t>0010234500</t>
  </si>
  <si>
    <t>0010234600</t>
  </si>
  <si>
    <t>0010234700</t>
  </si>
  <si>
    <t>0010300000</t>
  </si>
  <si>
    <t>0010400000</t>
  </si>
  <si>
    <t>0010630100</t>
  </si>
  <si>
    <t>0010630200</t>
  </si>
  <si>
    <t>0010630320</t>
  </si>
  <si>
    <t>0010630330</t>
  </si>
  <si>
    <t>0010630340</t>
  </si>
  <si>
    <t>0010630350</t>
  </si>
  <si>
    <t>0010630360</t>
  </si>
  <si>
    <t>0010630410</t>
  </si>
  <si>
    <t>0010630420</t>
  </si>
  <si>
    <t>0010630430</t>
  </si>
  <si>
    <t>0010630440</t>
  </si>
  <si>
    <t>0010630450</t>
  </si>
  <si>
    <t>0010630500</t>
  </si>
  <si>
    <t>0010630600</t>
  </si>
  <si>
    <t>0010630700</t>
  </si>
  <si>
    <t>0010630800</t>
  </si>
  <si>
    <t>0010630900</t>
  </si>
  <si>
    <t>0010631000</t>
  </si>
  <si>
    <t>0010631020</t>
  </si>
  <si>
    <t>0010631110</t>
  </si>
  <si>
    <t>0010631120</t>
  </si>
  <si>
    <t>0010631130</t>
  </si>
  <si>
    <t>0010631140</t>
  </si>
  <si>
    <t>0010631150</t>
  </si>
  <si>
    <t>0010631152</t>
  </si>
  <si>
    <t>0010631153</t>
  </si>
  <si>
    <t>0010631154</t>
  </si>
  <si>
    <t>0010632010</t>
  </si>
  <si>
    <t>0010633000</t>
  </si>
  <si>
    <t>0010633100</t>
  </si>
  <si>
    <t>0010633200</t>
  </si>
  <si>
    <t>0010633300</t>
  </si>
  <si>
    <t>0010633410</t>
  </si>
  <si>
    <t>0010633420</t>
  </si>
  <si>
    <t>0010633500</t>
  </si>
  <si>
    <t>0010633600</t>
  </si>
  <si>
    <t>0010633910</t>
  </si>
  <si>
    <t>0010633920</t>
  </si>
  <si>
    <t>0010633930</t>
  </si>
  <si>
    <t>0010633950</t>
  </si>
  <si>
    <t>0010634010</t>
  </si>
  <si>
    <t>0010634100</t>
  </si>
  <si>
    <t>0010634200</t>
  </si>
  <si>
    <t>0010634300</t>
  </si>
  <si>
    <t>0010634400</t>
  </si>
  <si>
    <t>0010634500</t>
  </si>
  <si>
    <t>0010634600</t>
  </si>
  <si>
    <t>0010634700</t>
  </si>
  <si>
    <t>0010634800</t>
  </si>
  <si>
    <t>0010635320</t>
  </si>
  <si>
    <t>0010635330</t>
  </si>
  <si>
    <t>0010635340</t>
  </si>
  <si>
    <t>0010635350</t>
  </si>
  <si>
    <t>0010635420</t>
  </si>
  <si>
    <t>0010635430</t>
  </si>
  <si>
    <t>0010635440</t>
  </si>
  <si>
    <t>0010635450</t>
  </si>
  <si>
    <t>0010635520</t>
  </si>
  <si>
    <t>0010635530</t>
  </si>
  <si>
    <t>0010635540</t>
  </si>
  <si>
    <t>0010635550</t>
  </si>
  <si>
    <t>0010635560</t>
  </si>
  <si>
    <t>0010636000</t>
  </si>
  <si>
    <t>0010636110</t>
  </si>
  <si>
    <t>0010636200</t>
  </si>
  <si>
    <t>0010636300</t>
  </si>
  <si>
    <t>0010636400</t>
  </si>
  <si>
    <t>0010636500</t>
  </si>
  <si>
    <t>0010637000</t>
  </si>
  <si>
    <t>0010637110</t>
  </si>
  <si>
    <t>0010637120</t>
  </si>
  <si>
    <t>0010638000</t>
  </si>
  <si>
    <t>0010638100</t>
  </si>
  <si>
    <t>0010638200</t>
  </si>
  <si>
    <t>0010638910</t>
  </si>
  <si>
    <t>0010638920</t>
  </si>
  <si>
    <t>0010638930</t>
  </si>
  <si>
    <t>0010638940</t>
  </si>
  <si>
    <t>0010639000</t>
  </si>
  <si>
    <t>0010639100</t>
  </si>
  <si>
    <t>0010639200</t>
  </si>
  <si>
    <t>0010639300</t>
  </si>
  <si>
    <t>0010639400</t>
  </si>
  <si>
    <t>0010639500</t>
  </si>
  <si>
    <t>0010639600</t>
  </si>
  <si>
    <t>0010639700</t>
  </si>
  <si>
    <t>0010639800</t>
  </si>
  <si>
    <t>0010700000</t>
  </si>
  <si>
    <t>0010780000</t>
  </si>
  <si>
    <t>0010780100</t>
  </si>
  <si>
    <t>0010780110</t>
  </si>
  <si>
    <t>0010780120</t>
  </si>
  <si>
    <t>0010780130</t>
  </si>
  <si>
    <t>0010780140</t>
  </si>
  <si>
    <t>0010780150</t>
  </si>
  <si>
    <t>0010790000</t>
  </si>
  <si>
    <t>0010801000</t>
  </si>
  <si>
    <t>0010802000</t>
  </si>
  <si>
    <t>0010803000</t>
  </si>
  <si>
    <t>0010804000</t>
  </si>
  <si>
    <t>0010810000</t>
  </si>
  <si>
    <t>0010820000</t>
  </si>
  <si>
    <t>0010830000</t>
  </si>
  <si>
    <t>0010840000</t>
  </si>
  <si>
    <t>0010850000</t>
  </si>
  <si>
    <t>0011410000</t>
  </si>
  <si>
    <t>0011415000</t>
  </si>
  <si>
    <t>0011420000</t>
  </si>
  <si>
    <t>0011425000</t>
  </si>
  <si>
    <t>0011430000</t>
  </si>
  <si>
    <t>0011435000</t>
  </si>
  <si>
    <t>0012110000</t>
  </si>
  <si>
    <t>0012120000</t>
  </si>
  <si>
    <t>0012130003</t>
  </si>
  <si>
    <t>0012130004</t>
  </si>
  <si>
    <t>0012130005</t>
  </si>
  <si>
    <t>0012130007</t>
  </si>
  <si>
    <t>0012130010</t>
  </si>
  <si>
    <t>0012130015</t>
  </si>
  <si>
    <t>0012140000</t>
  </si>
  <si>
    <t>0012150000</t>
  </si>
  <si>
    <t>0012150010</t>
  </si>
  <si>
    <t>0012150020</t>
  </si>
  <si>
    <t>0012150030</t>
  </si>
  <si>
    <t>0012150040</t>
  </si>
  <si>
    <t>0012150050</t>
  </si>
  <si>
    <t>0012150080</t>
  </si>
  <si>
    <t>0012180000</t>
  </si>
  <si>
    <t>0012200000</t>
  </si>
  <si>
    <t>0012210000</t>
  </si>
  <si>
    <t>0012310000</t>
  </si>
  <si>
    <t>0012320000</t>
  </si>
  <si>
    <t>0012400000</t>
  </si>
  <si>
    <t>0012401000</t>
  </si>
  <si>
    <t>0012401100</t>
  </si>
  <si>
    <t>0012410000</t>
  </si>
  <si>
    <t>0012420000</t>
  </si>
  <si>
    <t>0012510000</t>
  </si>
  <si>
    <t>0012515000</t>
  </si>
  <si>
    <t>0013112000</t>
  </si>
  <si>
    <t>0013112001</t>
  </si>
  <si>
    <t>0013112002</t>
  </si>
  <si>
    <t>0013112003</t>
  </si>
  <si>
    <t>0013112004</t>
  </si>
  <si>
    <t>0013112017</t>
  </si>
  <si>
    <t>0013112100</t>
  </si>
  <si>
    <t>0013112101</t>
  </si>
  <si>
    <t>0013112102</t>
  </si>
  <si>
    <t>0013112103</t>
  </si>
  <si>
    <t>0013112104</t>
  </si>
  <si>
    <t>0013112116</t>
  </si>
  <si>
    <t>0013112117</t>
  </si>
  <si>
    <t>0013112400</t>
  </si>
  <si>
    <t>0013112401</t>
  </si>
  <si>
    <t>0013112402</t>
  </si>
  <si>
    <t>0013112404</t>
  </si>
  <si>
    <t>0013112417</t>
  </si>
  <si>
    <t>0013112500</t>
  </si>
  <si>
    <t>0013112501</t>
  </si>
  <si>
    <t>0013112502</t>
  </si>
  <si>
    <t>0013112504</t>
  </si>
  <si>
    <t>0013112517</t>
  </si>
  <si>
    <t>0013112700</t>
  </si>
  <si>
    <t>0013112701</t>
  </si>
  <si>
    <t>0013112702</t>
  </si>
  <si>
    <t>0013112717</t>
  </si>
  <si>
    <t>0013112800</t>
  </si>
  <si>
    <t>0013112801</t>
  </si>
  <si>
    <t>0013112802</t>
  </si>
  <si>
    <t>0013112804</t>
  </si>
  <si>
    <t>0013112817</t>
  </si>
  <si>
    <t>0013115100</t>
  </si>
  <si>
    <t>0013115101</t>
  </si>
  <si>
    <t>0013115102</t>
  </si>
  <si>
    <t>0013115103</t>
  </si>
  <si>
    <t>0013115104</t>
  </si>
  <si>
    <t>0013115116</t>
  </si>
  <si>
    <t>0013115117</t>
  </si>
  <si>
    <t>0013115700</t>
  </si>
  <si>
    <t>0013115701</t>
  </si>
  <si>
    <t>0013115702</t>
  </si>
  <si>
    <t>0013115703</t>
  </si>
  <si>
    <t>0013115704</t>
  </si>
  <si>
    <t>0013115716</t>
  </si>
  <si>
    <t>0013115717</t>
  </si>
  <si>
    <t>0013118000</t>
  </si>
  <si>
    <t>0013118001</t>
  </si>
  <si>
    <t>0013118002</t>
  </si>
  <si>
    <t>0013118003</t>
  </si>
  <si>
    <t>0013118004</t>
  </si>
  <si>
    <t>0013118016</t>
  </si>
  <si>
    <t>0013118017</t>
  </si>
  <si>
    <t>0013118500</t>
  </si>
  <si>
    <t>0013119000</t>
  </si>
  <si>
    <t>0013119001</t>
  </si>
  <si>
    <t>0013119002</t>
  </si>
  <si>
    <t>0013119003</t>
  </si>
  <si>
    <t>0013119004</t>
  </si>
  <si>
    <t>0013119016</t>
  </si>
  <si>
    <t>0013119017</t>
  </si>
  <si>
    <t>0013119100</t>
  </si>
  <si>
    <t>0013119101</t>
  </si>
  <si>
    <t>0013119102</t>
  </si>
  <si>
    <t>0013119103</t>
  </si>
  <si>
    <t>0013119104</t>
  </si>
  <si>
    <t>0013119116</t>
  </si>
  <si>
    <t>0013119117</t>
  </si>
  <si>
    <t>0013120000</t>
  </si>
  <si>
    <t>0013120001</t>
  </si>
  <si>
    <t>0013120004</t>
  </si>
  <si>
    <t>0013120005</t>
  </si>
  <si>
    <t>0013120006</t>
  </si>
  <si>
    <t>0013120007</t>
  </si>
  <si>
    <t>0013120008</t>
  </si>
  <si>
    <t>0013120009</t>
  </si>
  <si>
    <t>0013120010</t>
  </si>
  <si>
    <t>0013120011</t>
  </si>
  <si>
    <t>0013120012</t>
  </si>
  <si>
    <t>0013120013</t>
  </si>
  <si>
    <t>0013120014</t>
  </si>
  <si>
    <t>0013120015</t>
  </si>
  <si>
    <t>0013120016</t>
  </si>
  <si>
    <t>0013120017</t>
  </si>
  <si>
    <t>0013120100</t>
  </si>
  <si>
    <t>0013120101</t>
  </si>
  <si>
    <t>0013120104</t>
  </si>
  <si>
    <t>0013120106</t>
  </si>
  <si>
    <t>0013120107</t>
  </si>
  <si>
    <t>0013120108</t>
  </si>
  <si>
    <t>0013120109</t>
  </si>
  <si>
    <t>0013120110</t>
  </si>
  <si>
    <t>0013120111</t>
  </si>
  <si>
    <t>0013120112</t>
  </si>
  <si>
    <t>0013120113</t>
  </si>
  <si>
    <t>0013120114</t>
  </si>
  <si>
    <t>0013120115</t>
  </si>
  <si>
    <t>0013120116</t>
  </si>
  <si>
    <t>0013120117</t>
  </si>
  <si>
    <t>0013120200</t>
  </si>
  <si>
    <t>0013120201</t>
  </si>
  <si>
    <t>0013120204</t>
  </si>
  <si>
    <t>0013120206</t>
  </si>
  <si>
    <t>0013120207</t>
  </si>
  <si>
    <t>0013120208</t>
  </si>
  <si>
    <t>0013120209</t>
  </si>
  <si>
    <t>0013120211</t>
  </si>
  <si>
    <t>0013120212</t>
  </si>
  <si>
    <t>0013120213</t>
  </si>
  <si>
    <t>0013120214</t>
  </si>
  <si>
    <t>0013120215</t>
  </si>
  <si>
    <t>0013120216</t>
  </si>
  <si>
    <t>0013120217</t>
  </si>
  <si>
    <t>0013120300</t>
  </si>
  <si>
    <t>0013120301</t>
  </si>
  <si>
    <t>0013120304</t>
  </si>
  <si>
    <t>0013120306</t>
  </si>
  <si>
    <t>0013120307</t>
  </si>
  <si>
    <t>0013120308</t>
  </si>
  <si>
    <t>0013120309</t>
  </si>
  <si>
    <t>0013120310</t>
  </si>
  <si>
    <t>0013120311</t>
  </si>
  <si>
    <t>0013120312</t>
  </si>
  <si>
    <t>0013120313</t>
  </si>
  <si>
    <t>0013120314</t>
  </si>
  <si>
    <t>0013120315</t>
  </si>
  <si>
    <t>0013120316</t>
  </si>
  <si>
    <t>0013120317</t>
  </si>
  <si>
    <t>0013120400</t>
  </si>
  <si>
    <t>0013120401</t>
  </si>
  <si>
    <t>0013120404</t>
  </si>
  <si>
    <t>0013120406</t>
  </si>
  <si>
    <t>0013120407</t>
  </si>
  <si>
    <t>0013120408</t>
  </si>
  <si>
    <t>0013120409</t>
  </si>
  <si>
    <t>0013120411</t>
  </si>
  <si>
    <t>0013120412</t>
  </si>
  <si>
    <t>0013120413</t>
  </si>
  <si>
    <t>0013120414</t>
  </si>
  <si>
    <t>0013120415</t>
  </si>
  <si>
    <t>0013120416</t>
  </si>
  <si>
    <t>0013120417</t>
  </si>
  <si>
    <t>0013121000</t>
  </si>
  <si>
    <t>0013121001</t>
  </si>
  <si>
    <t>0013121004</t>
  </si>
  <si>
    <t>0013121006</t>
  </si>
  <si>
    <t>0013121007</t>
  </si>
  <si>
    <t>0013121008</t>
  </si>
  <si>
    <t>0013121009</t>
  </si>
  <si>
    <t>0013121010</t>
  </si>
  <si>
    <t>0013121012</t>
  </si>
  <si>
    <t>0013121013</t>
  </si>
  <si>
    <t>0013121014</t>
  </si>
  <si>
    <t>0013121015</t>
  </si>
  <si>
    <t>0013121016</t>
  </si>
  <si>
    <t>0013121017</t>
  </si>
  <si>
    <t>0013121018</t>
  </si>
  <si>
    <t>0013121100</t>
  </si>
  <si>
    <t>0013121101</t>
  </si>
  <si>
    <t>0013121104</t>
  </si>
  <si>
    <t>0013121106</t>
  </si>
  <si>
    <t>0013121107</t>
  </si>
  <si>
    <t>0013121108</t>
  </si>
  <si>
    <t>0013121109</t>
  </si>
  <si>
    <t>0013121110</t>
  </si>
  <si>
    <t>0013121111</t>
  </si>
  <si>
    <t>0013121112</t>
  </si>
  <si>
    <t>0013121113</t>
  </si>
  <si>
    <t>0013121114</t>
  </si>
  <si>
    <t>0013121115</t>
  </si>
  <si>
    <t>0013121116</t>
  </si>
  <si>
    <t>0013121117</t>
  </si>
  <si>
    <t>0013121118</t>
  </si>
  <si>
    <t>0013121200</t>
  </si>
  <si>
    <t>0013121201</t>
  </si>
  <si>
    <t>0013121204</t>
  </si>
  <si>
    <t>0013121206</t>
  </si>
  <si>
    <t>0013121207</t>
  </si>
  <si>
    <t>0013121208</t>
  </si>
  <si>
    <t>0013121209</t>
  </si>
  <si>
    <t>0013121211</t>
  </si>
  <si>
    <t>0013121212</t>
  </si>
  <si>
    <t>0013121213</t>
  </si>
  <si>
    <t>0013121214</t>
  </si>
  <si>
    <t>0013121215</t>
  </si>
  <si>
    <t>0013121216</t>
  </si>
  <si>
    <t>0013121217</t>
  </si>
  <si>
    <t>0013121218</t>
  </si>
  <si>
    <t>0013121300</t>
  </si>
  <si>
    <t>0013121301</t>
  </si>
  <si>
    <t>0013121304</t>
  </si>
  <si>
    <t>0013121306</t>
  </si>
  <si>
    <t>0013121307</t>
  </si>
  <si>
    <t>0013121308</t>
  </si>
  <si>
    <t>0013121309</t>
  </si>
  <si>
    <t>0013121311</t>
  </si>
  <si>
    <t>0013121312</t>
  </si>
  <si>
    <t>0013121313</t>
  </si>
  <si>
    <t>0013121314</t>
  </si>
  <si>
    <t>0013121315</t>
  </si>
  <si>
    <t>0013121316</t>
  </si>
  <si>
    <t>0013121317</t>
  </si>
  <si>
    <t>0013121318</t>
  </si>
  <si>
    <t>0013121500</t>
  </si>
  <si>
    <t>0013121501</t>
  </si>
  <si>
    <t>0013121504</t>
  </si>
  <si>
    <t>0013121506</t>
  </si>
  <si>
    <t>0013121507</t>
  </si>
  <si>
    <t>0013121508</t>
  </si>
  <si>
    <t>0013121509</t>
  </si>
  <si>
    <t>0013121511</t>
  </si>
  <si>
    <t>0013121512</t>
  </si>
  <si>
    <t>0013121513</t>
  </si>
  <si>
    <t>0013121514</t>
  </si>
  <si>
    <t>0013121515</t>
  </si>
  <si>
    <t>0013121516</t>
  </si>
  <si>
    <t>0013121517</t>
  </si>
  <si>
    <t>0013121518</t>
  </si>
  <si>
    <t>0013121700</t>
  </si>
  <si>
    <t>0013121701</t>
  </si>
  <si>
    <t>0013121704</t>
  </si>
  <si>
    <t>0013121706</t>
  </si>
  <si>
    <t>0013121707</t>
  </si>
  <si>
    <t>0013121708</t>
  </si>
  <si>
    <t>0013121709</t>
  </si>
  <si>
    <t>0013121710</t>
  </si>
  <si>
    <t>0013121712</t>
  </si>
  <si>
    <t>0013121713</t>
  </si>
  <si>
    <t>0013121714</t>
  </si>
  <si>
    <t>0013121715</t>
  </si>
  <si>
    <t>0013121716</t>
  </si>
  <si>
    <t>0013121717</t>
  </si>
  <si>
    <t>0013121718</t>
  </si>
  <si>
    <t>0013121800</t>
  </si>
  <si>
    <t>0013121801</t>
  </si>
  <si>
    <t>0013121804</t>
  </si>
  <si>
    <t>0013121806</t>
  </si>
  <si>
    <t>0013121807</t>
  </si>
  <si>
    <t>0013121808</t>
  </si>
  <si>
    <t>0013121809</t>
  </si>
  <si>
    <t>0013121811</t>
  </si>
  <si>
    <t>0013121812</t>
  </si>
  <si>
    <t>0013121813</t>
  </si>
  <si>
    <t>0013121814</t>
  </si>
  <si>
    <t>0013121815</t>
  </si>
  <si>
    <t>0013121816</t>
  </si>
  <si>
    <t>0013121817</t>
  </si>
  <si>
    <t>0013121818</t>
  </si>
  <si>
    <t>0013121900</t>
  </si>
  <si>
    <t>0013121907</t>
  </si>
  <si>
    <t>0013121908</t>
  </si>
  <si>
    <t>0013121916</t>
  </si>
  <si>
    <t>0013121917</t>
  </si>
  <si>
    <t>0013122200</t>
  </si>
  <si>
    <t>0013122207</t>
  </si>
  <si>
    <t>0013122208</t>
  </si>
  <si>
    <t>0013122216</t>
  </si>
  <si>
    <t>0013122217</t>
  </si>
  <si>
    <t>0013122300</t>
  </si>
  <si>
    <t>0013122307</t>
  </si>
  <si>
    <t>0013122308</t>
  </si>
  <si>
    <t>0013122316</t>
  </si>
  <si>
    <t>0013122317</t>
  </si>
  <si>
    <t>0013122400</t>
  </si>
  <si>
    <t>0013122401</t>
  </si>
  <si>
    <t>0013122404</t>
  </si>
  <si>
    <t>0013122406</t>
  </si>
  <si>
    <t>0013122407</t>
  </si>
  <si>
    <t>0013122408</t>
  </si>
  <si>
    <t>0013122409</t>
  </si>
  <si>
    <t>0013122411</t>
  </si>
  <si>
    <t>0013122412</t>
  </si>
  <si>
    <t>0013122413</t>
  </si>
  <si>
    <t>0013122414</t>
  </si>
  <si>
    <t>0013122415</t>
  </si>
  <si>
    <t>0013122416</t>
  </si>
  <si>
    <t>0013122417</t>
  </si>
  <si>
    <t>0013122418</t>
  </si>
  <si>
    <t>0013122500</t>
  </si>
  <si>
    <t>0013122501</t>
  </si>
  <si>
    <t>0013122504</t>
  </si>
  <si>
    <t>0013122506</t>
  </si>
  <si>
    <t>0013122507</t>
  </si>
  <si>
    <t>0013122508</t>
  </si>
  <si>
    <t>0013122509</t>
  </si>
  <si>
    <t>0013122510</t>
  </si>
  <si>
    <t>0013122511</t>
  </si>
  <si>
    <t>0013122512</t>
  </si>
  <si>
    <t>0013122513</t>
  </si>
  <si>
    <t>0013122514</t>
  </si>
  <si>
    <t>0013122515</t>
  </si>
  <si>
    <t>0013122516</t>
  </si>
  <si>
    <t>0013122517</t>
  </si>
  <si>
    <t>0013122518</t>
  </si>
  <si>
    <t>0013122600</t>
  </si>
  <si>
    <t>0013122601</t>
  </si>
  <si>
    <t>0013122604</t>
  </si>
  <si>
    <t>0013122606</t>
  </si>
  <si>
    <t>0013122607</t>
  </si>
  <si>
    <t>0013122608</t>
  </si>
  <si>
    <t>0013122609</t>
  </si>
  <si>
    <t>0013122610</t>
  </si>
  <si>
    <t>0013122611</t>
  </si>
  <si>
    <t>0013122612</t>
  </si>
  <si>
    <t>0013122613</t>
  </si>
  <si>
    <t>0013122614</t>
  </si>
  <si>
    <t>0013122615</t>
  </si>
  <si>
    <t>0013122616</t>
  </si>
  <si>
    <t>0013122617</t>
  </si>
  <si>
    <t>0013122618</t>
  </si>
  <si>
    <t>0013122700</t>
  </si>
  <si>
    <t>0013122701</t>
  </si>
  <si>
    <t>0013122704</t>
  </si>
  <si>
    <t>0013122706</t>
  </si>
  <si>
    <t>0013122707</t>
  </si>
  <si>
    <t>0013122708</t>
  </si>
  <si>
    <t>0013122709</t>
  </si>
  <si>
    <t>0013122711</t>
  </si>
  <si>
    <t>0013122712</t>
  </si>
  <si>
    <t>0013122713</t>
  </si>
  <si>
    <t>0013122714</t>
  </si>
  <si>
    <t>0013122715</t>
  </si>
  <si>
    <t>0013122716</t>
  </si>
  <si>
    <t>0013122717</t>
  </si>
  <si>
    <t>0013122718</t>
  </si>
  <si>
    <t>0013122800</t>
  </si>
  <si>
    <t>0013122801</t>
  </si>
  <si>
    <t>0013122804</t>
  </si>
  <si>
    <t>0013122806</t>
  </si>
  <si>
    <t>0013122807</t>
  </si>
  <si>
    <t>0013122808</t>
  </si>
  <si>
    <t>0013122809</t>
  </si>
  <si>
    <t>0013122811</t>
  </si>
  <si>
    <t>0013122812</t>
  </si>
  <si>
    <t>0013122813</t>
  </si>
  <si>
    <t>0013122814</t>
  </si>
  <si>
    <t>0013122815</t>
  </si>
  <si>
    <t>0013122816</t>
  </si>
  <si>
    <t>0013122817</t>
  </si>
  <si>
    <t>0013122818</t>
  </si>
  <si>
    <t>0013123000</t>
  </si>
  <si>
    <t>0013123001</t>
  </si>
  <si>
    <t>0013123004</t>
  </si>
  <si>
    <t>0013123006</t>
  </si>
  <si>
    <t>0013123007</t>
  </si>
  <si>
    <t>0013123008</t>
  </si>
  <si>
    <t>0013123009</t>
  </si>
  <si>
    <t>0013123010</t>
  </si>
  <si>
    <t>0013123011</t>
  </si>
  <si>
    <t>0013123012</t>
  </si>
  <si>
    <t>0013123013</t>
  </si>
  <si>
    <t>0013123014</t>
  </si>
  <si>
    <t>0013123015</t>
  </si>
  <si>
    <t>0013123016</t>
  </si>
  <si>
    <t>0013123017</t>
  </si>
  <si>
    <t>0013123018</t>
  </si>
  <si>
    <t>0013123800</t>
  </si>
  <si>
    <t>0013123801</t>
  </si>
  <si>
    <t>0013123804</t>
  </si>
  <si>
    <t>0013123806</t>
  </si>
  <si>
    <t>0013123807</t>
  </si>
  <si>
    <t>0013123808</t>
  </si>
  <si>
    <t>0013123809</t>
  </si>
  <si>
    <t>0013123810</t>
  </si>
  <si>
    <t>0013123811</t>
  </si>
  <si>
    <t>0013123812</t>
  </si>
  <si>
    <t>0013123813</t>
  </si>
  <si>
    <t>0013123814</t>
  </si>
  <si>
    <t>0013123815</t>
  </si>
  <si>
    <t>0013123816</t>
  </si>
  <si>
    <t>0013123817</t>
  </si>
  <si>
    <t>0013123818</t>
  </si>
  <si>
    <t>0013125200</t>
  </si>
  <si>
    <t>0013125201</t>
  </si>
  <si>
    <t>0013125204</t>
  </si>
  <si>
    <t>0013125206</t>
  </si>
  <si>
    <t>0013125208</t>
  </si>
  <si>
    <t>0013125209</t>
  </si>
  <si>
    <t>0013125210</t>
  </si>
  <si>
    <t>0013125211</t>
  </si>
  <si>
    <t>0013125212</t>
  </si>
  <si>
    <t>0013125213</t>
  </si>
  <si>
    <t>0013125214</t>
  </si>
  <si>
    <t>0013125215</t>
  </si>
  <si>
    <t>0013125216</t>
  </si>
  <si>
    <t>0013125217</t>
  </si>
  <si>
    <t>0013125300</t>
  </si>
  <si>
    <t>0013125301</t>
  </si>
  <si>
    <t>0013125306</t>
  </si>
  <si>
    <t>0013125308</t>
  </si>
  <si>
    <t>0013125309</t>
  </si>
  <si>
    <t>0013125310</t>
  </si>
  <si>
    <t>0013125311</t>
  </si>
  <si>
    <t>0013125312</t>
  </si>
  <si>
    <t>0013125313</t>
  </si>
  <si>
    <t>0013125314</t>
  </si>
  <si>
    <t>0013125315</t>
  </si>
  <si>
    <t>0013125316</t>
  </si>
  <si>
    <t>0013125317</t>
  </si>
  <si>
    <t>0013140000</t>
  </si>
  <si>
    <t>0013140001</t>
  </si>
  <si>
    <t>0013140002</t>
  </si>
  <si>
    <t>0013140004</t>
  </si>
  <si>
    <t>0013140005</t>
  </si>
  <si>
    <t>0013140012</t>
  </si>
  <si>
    <t>0013140017</t>
  </si>
  <si>
    <t>0013140100</t>
  </si>
  <si>
    <t>0013140102</t>
  </si>
  <si>
    <t>0013140103</t>
  </si>
  <si>
    <t>0013140104</t>
  </si>
  <si>
    <t>0013140105</t>
  </si>
  <si>
    <t>0013140117</t>
  </si>
  <si>
    <t>0013140200</t>
  </si>
  <si>
    <t>0013140202</t>
  </si>
  <si>
    <t>0013140203</t>
  </si>
  <si>
    <t>0013140204</t>
  </si>
  <si>
    <t>0013140205</t>
  </si>
  <si>
    <t>0013140217</t>
  </si>
  <si>
    <t>0013140300</t>
  </si>
  <si>
    <t>0013140303</t>
  </si>
  <si>
    <t>0013140304</t>
  </si>
  <si>
    <t>0013140305</t>
  </si>
  <si>
    <t>0013140317</t>
  </si>
  <si>
    <t>0013140400</t>
  </si>
  <si>
    <t>0013140401</t>
  </si>
  <si>
    <t>0013140402</t>
  </si>
  <si>
    <t>0013140404</t>
  </si>
  <si>
    <t>0013140417</t>
  </si>
  <si>
    <t>0013140500</t>
  </si>
  <si>
    <t>0013140501</t>
  </si>
  <si>
    <t>0013140502</t>
  </si>
  <si>
    <t>0013140504</t>
  </si>
  <si>
    <t>0013140517</t>
  </si>
  <si>
    <t>0013140600</t>
  </si>
  <si>
    <t>0013140601</t>
  </si>
  <si>
    <t>0013140602</t>
  </si>
  <si>
    <t>0013140604</t>
  </si>
  <si>
    <t>0013140617</t>
  </si>
  <si>
    <t>0013140700</t>
  </si>
  <si>
    <t>0013140701</t>
  </si>
  <si>
    <t>0013140702</t>
  </si>
  <si>
    <t>0013140704</t>
  </si>
  <si>
    <t>0013140705</t>
  </si>
  <si>
    <t>0013164600</t>
  </si>
  <si>
    <t>0013164699</t>
  </si>
  <si>
    <t>0013180100</t>
  </si>
  <si>
    <t>0013180101</t>
  </si>
  <si>
    <t>0013180106</t>
  </si>
  <si>
    <t>0013180108</t>
  </si>
  <si>
    <t>0013180109</t>
  </si>
  <si>
    <t>0013180111</t>
  </si>
  <si>
    <t>0013180112</t>
  </si>
  <si>
    <t>0013180113</t>
  </si>
  <si>
    <t>0013180114</t>
  </si>
  <si>
    <t>0013180115</t>
  </si>
  <si>
    <t>0013180116</t>
  </si>
  <si>
    <t>0013180117</t>
  </si>
  <si>
    <t>0013180200</t>
  </si>
  <si>
    <t>0013180201</t>
  </si>
  <si>
    <t>0013180202</t>
  </si>
  <si>
    <t>0013180208</t>
  </si>
  <si>
    <t>0013180216</t>
  </si>
  <si>
    <t>0013180217</t>
  </si>
  <si>
    <t>0013180300</t>
  </si>
  <si>
    <t>0013180301</t>
  </si>
  <si>
    <t>0013180302</t>
  </si>
  <si>
    <t>0013180308</t>
  </si>
  <si>
    <t>0013180316</t>
  </si>
  <si>
    <t>0013180317</t>
  </si>
  <si>
    <t>0013180400</t>
  </si>
  <si>
    <t>0013180401</t>
  </si>
  <si>
    <t>0013180402</t>
  </si>
  <si>
    <t>0013180408</t>
  </si>
  <si>
    <t>0013180417</t>
  </si>
  <si>
    <t>0013181800</t>
  </si>
  <si>
    <t>0013182400</t>
  </si>
  <si>
    <t>0013182401</t>
  </si>
  <si>
    <t>0013182417</t>
  </si>
  <si>
    <t>0013182500</t>
  </si>
  <si>
    <t>0013182516</t>
  </si>
  <si>
    <t>0013182600</t>
  </si>
  <si>
    <t>0013199001</t>
  </si>
  <si>
    <t>0013199002</t>
  </si>
  <si>
    <t>0013199003</t>
  </si>
  <si>
    <t>0013199004</t>
  </si>
  <si>
    <t>0013199005</t>
  </si>
  <si>
    <t>0013199006</t>
  </si>
  <si>
    <t>0013199999</t>
  </si>
  <si>
    <t>0013500000</t>
  </si>
  <si>
    <t>0013600000</t>
  </si>
  <si>
    <t>0013700000</t>
  </si>
  <si>
    <t>0013800000</t>
  </si>
  <si>
    <t>0014100000</t>
  </si>
  <si>
    <t>0014100001</t>
  </si>
  <si>
    <t>0014100002</t>
  </si>
  <si>
    <t>0014100003</t>
  </si>
  <si>
    <t>0014100010</t>
  </si>
  <si>
    <t>0014100020</t>
  </si>
  <si>
    <t>0014100099</t>
  </si>
  <si>
    <t>0014100998</t>
  </si>
  <si>
    <t>0014100999</t>
  </si>
  <si>
    <t>0014300000</t>
  </si>
  <si>
    <t>0014300001</t>
  </si>
  <si>
    <t>0014399999</t>
  </si>
  <si>
    <t>0014400000</t>
  </si>
  <si>
    <t>0014400001</t>
  </si>
  <si>
    <t>0014510000</t>
  </si>
  <si>
    <t>0014510100</t>
  </si>
  <si>
    <t>0014510600</t>
  </si>
  <si>
    <t>0014510999</t>
  </si>
  <si>
    <t>0014511000</t>
  </si>
  <si>
    <t>0014511001</t>
  </si>
  <si>
    <t>0014511031</t>
  </si>
  <si>
    <t>0014511039</t>
  </si>
  <si>
    <t>0014511054</t>
  </si>
  <si>
    <t>0014511055</t>
  </si>
  <si>
    <t>0014511056</t>
  </si>
  <si>
    <t>0014511070</t>
  </si>
  <si>
    <t>0014511076</t>
  </si>
  <si>
    <t>0014511081</t>
  </si>
  <si>
    <t>0014511082</t>
  </si>
  <si>
    <t>0014511083</t>
  </si>
  <si>
    <t>0014511084</t>
  </si>
  <si>
    <t>0014512000</t>
  </si>
  <si>
    <t>0014512500</t>
  </si>
  <si>
    <t>0014571000</t>
  </si>
  <si>
    <t>0014572000</t>
  </si>
  <si>
    <t>0014573000</t>
  </si>
  <si>
    <t>0014574000</t>
  </si>
  <si>
    <t>0014575000</t>
  </si>
  <si>
    <t>0014575500</t>
  </si>
  <si>
    <t>0014610000</t>
  </si>
  <si>
    <t>0014610099</t>
  </si>
  <si>
    <t>0014611000</t>
  </si>
  <si>
    <t>0014611200</t>
  </si>
  <si>
    <t>0014611300</t>
  </si>
  <si>
    <t>0014611500</t>
  </si>
  <si>
    <t>0014612500</t>
  </si>
  <si>
    <t>0014613000</t>
  </si>
  <si>
    <t>0014613100</t>
  </si>
  <si>
    <t>0014619999</t>
  </si>
  <si>
    <t>0014620000</t>
  </si>
  <si>
    <t>0014640000</t>
  </si>
  <si>
    <t>0014670000</t>
  </si>
  <si>
    <t>0014690000</t>
  </si>
  <si>
    <t>0014810000</t>
  </si>
  <si>
    <t>0014820000</t>
  </si>
  <si>
    <t>0015110000</t>
  </si>
  <si>
    <t>0015120000</t>
  </si>
  <si>
    <t>0015130000</t>
  </si>
  <si>
    <t>0015140000</t>
  </si>
  <si>
    <t>0015199997</t>
  </si>
  <si>
    <t>0015199998</t>
  </si>
  <si>
    <t>0015199999</t>
  </si>
  <si>
    <t>0016410000</t>
  </si>
  <si>
    <t>0016420000</t>
  </si>
  <si>
    <t>0016421000</t>
  </si>
  <si>
    <t>0016430000</t>
  </si>
  <si>
    <t>0016510000</t>
  </si>
  <si>
    <t>0016510001</t>
  </si>
  <si>
    <t>0016520000</t>
  </si>
  <si>
    <t>0016525000</t>
  </si>
  <si>
    <t>0016530000</t>
  </si>
  <si>
    <t>0016540000</t>
  </si>
  <si>
    <t>0016550000</t>
  </si>
  <si>
    <t>0016550010</t>
  </si>
  <si>
    <t>0017420000</t>
  </si>
  <si>
    <t>0017430000</t>
  </si>
  <si>
    <t>0018503000</t>
  </si>
  <si>
    <t>0018503500</t>
  </si>
  <si>
    <t>0018504000</t>
  </si>
  <si>
    <t>0018504500</t>
  </si>
  <si>
    <t>0018505000</t>
  </si>
  <si>
    <t>0018505100</t>
  </si>
  <si>
    <t>0018505500</t>
  </si>
  <si>
    <t>0018506000</t>
  </si>
  <si>
    <t>0018610000</t>
  </si>
  <si>
    <t>0018620000</t>
  </si>
  <si>
    <t>0018631000</t>
  </si>
  <si>
    <t>0018632000</t>
  </si>
  <si>
    <t>0018641000</t>
  </si>
  <si>
    <t>0018642000</t>
  </si>
  <si>
    <t>0018650000</t>
  </si>
  <si>
    <t>0018661000</t>
  </si>
  <si>
    <t>0018661500</t>
  </si>
  <si>
    <t>0018662000</t>
  </si>
  <si>
    <t>0018680000</t>
  </si>
  <si>
    <t>0018680100</t>
  </si>
  <si>
    <t>0018680101</t>
  </si>
  <si>
    <t>0018680102</t>
  </si>
  <si>
    <t>0018680103</t>
  </si>
  <si>
    <t>0018680111</t>
  </si>
  <si>
    <t>0018680113</t>
  </si>
  <si>
    <t>0018680126</t>
  </si>
  <si>
    <t>0018680127</t>
  </si>
  <si>
    <t>0018680131</t>
  </si>
  <si>
    <t>0018680132</t>
  </si>
  <si>
    <t>0018680134</t>
  </si>
  <si>
    <t>0018680135</t>
  </si>
  <si>
    <t>0018680136</t>
  </si>
  <si>
    <t>0018680137</t>
  </si>
  <si>
    <t>0018680140</t>
  </si>
  <si>
    <t>0018680141</t>
  </si>
  <si>
    <t>0018680142</t>
  </si>
  <si>
    <t>0018680143</t>
  </si>
  <si>
    <t>0018680144</t>
  </si>
  <si>
    <t>0018680145</t>
  </si>
  <si>
    <t>0018680147</t>
  </si>
  <si>
    <t>0018680150</t>
  </si>
  <si>
    <t>0018680151</t>
  </si>
  <si>
    <t>0018680152</t>
  </si>
  <si>
    <t>0018680153</t>
  </si>
  <si>
    <t>0018680154</t>
  </si>
  <si>
    <t>0018680160</t>
  </si>
  <si>
    <t>0018680162</t>
  </si>
  <si>
    <t>0018680163</t>
  </si>
  <si>
    <t>0018680164</t>
  </si>
  <si>
    <t>0018680165</t>
  </si>
  <si>
    <t>0018680166</t>
  </si>
  <si>
    <t>0018680167</t>
  </si>
  <si>
    <t>0018680168</t>
  </si>
  <si>
    <t>0018680169</t>
  </si>
  <si>
    <t>0018680170</t>
  </si>
  <si>
    <t>0018680171</t>
  </si>
  <si>
    <t>0018680172</t>
  </si>
  <si>
    <t>0018680191</t>
  </si>
  <si>
    <t>0018680192</t>
  </si>
  <si>
    <t>0018680194</t>
  </si>
  <si>
    <t>0018680195</t>
  </si>
  <si>
    <t>0018680196</t>
  </si>
  <si>
    <t>0018680197</t>
  </si>
  <si>
    <t>0018680198</t>
  </si>
  <si>
    <t>0018680199</t>
  </si>
  <si>
    <t>0018680200</t>
  </si>
  <si>
    <t>0018680210</t>
  </si>
  <si>
    <t>0018680211</t>
  </si>
  <si>
    <t>0018680216</t>
  </si>
  <si>
    <t>0018680218</t>
  </si>
  <si>
    <t>0018680223</t>
  </si>
  <si>
    <t>0018680224</t>
  </si>
  <si>
    <t>0018680295</t>
  </si>
  <si>
    <t>0018680333</t>
  </si>
  <si>
    <t>0018680395</t>
  </si>
  <si>
    <t>0018689900</t>
  </si>
  <si>
    <t>0018711000</t>
  </si>
  <si>
    <t>0018712000</t>
  </si>
  <si>
    <t>0018712500</t>
  </si>
  <si>
    <t>0018713000</t>
  </si>
  <si>
    <t>0018714200</t>
  </si>
  <si>
    <t>0018714300</t>
  </si>
  <si>
    <t>0018715000</t>
  </si>
  <si>
    <t>0018715500</t>
  </si>
  <si>
    <t>0018715700</t>
  </si>
  <si>
    <t>0018717000</t>
  </si>
  <si>
    <t>0018720000</t>
  </si>
  <si>
    <t>0018740000</t>
  </si>
  <si>
    <t>0018741000</t>
  </si>
  <si>
    <t>0018742000</t>
  </si>
  <si>
    <t>0018742100</t>
  </si>
  <si>
    <t>0018743000</t>
  </si>
  <si>
    <t>0018750000</t>
  </si>
  <si>
    <t>0018790000</t>
  </si>
  <si>
    <t>0018791000</t>
  </si>
  <si>
    <t>0018800000</t>
  </si>
  <si>
    <t>0020110000</t>
  </si>
  <si>
    <t>0020120000</t>
  </si>
  <si>
    <t>0020130000</t>
  </si>
  <si>
    <t>0020510000</t>
  </si>
  <si>
    <t>0020520000</t>
  </si>
  <si>
    <t>0020530000</t>
  </si>
  <si>
    <t>0020530100</t>
  </si>
  <si>
    <t>0020530200</t>
  </si>
  <si>
    <t>0020530300</t>
  </si>
  <si>
    <t>0020530400</t>
  </si>
  <si>
    <t>0020530500</t>
  </si>
  <si>
    <t>0020530600</t>
  </si>
  <si>
    <t>0020530650</t>
  </si>
  <si>
    <t>0020530700</t>
  </si>
  <si>
    <t>0020540000</t>
  </si>
  <si>
    <t>0021021000</t>
  </si>
  <si>
    <t>0021024000</t>
  </si>
  <si>
    <t>0021025000</t>
  </si>
  <si>
    <t>0021200000</t>
  </si>
  <si>
    <t>0021300000</t>
  </si>
  <si>
    <t>0021300010</t>
  </si>
  <si>
    <t>0021300200</t>
  </si>
  <si>
    <t>0021300210</t>
  </si>
  <si>
    <t>0021300300</t>
  </si>
  <si>
    <t>0021300305</t>
  </si>
  <si>
    <t>0021300310</t>
  </si>
  <si>
    <t>0021300315</t>
  </si>
  <si>
    <t>0021410000</t>
  </si>
  <si>
    <t>0021420000</t>
  </si>
  <si>
    <t>0021510000</t>
  </si>
  <si>
    <t>0021510100</t>
  </si>
  <si>
    <t>0021550000</t>
  </si>
  <si>
    <t>0022110000</t>
  </si>
  <si>
    <t>0022110100</t>
  </si>
  <si>
    <t>0022110200</t>
  </si>
  <si>
    <t>0022110400</t>
  </si>
  <si>
    <t>0022110500</t>
  </si>
  <si>
    <t>0022110600</t>
  </si>
  <si>
    <t>0022115000</t>
  </si>
  <si>
    <t>0022130000</t>
  </si>
  <si>
    <t>0022135000</t>
  </si>
  <si>
    <t>0022210000</t>
  </si>
  <si>
    <t>0022215000</t>
  </si>
  <si>
    <t>0022230000</t>
  </si>
  <si>
    <t>0022235000</t>
  </si>
  <si>
    <t>0023110000</t>
  </si>
  <si>
    <t>0023110500</t>
  </si>
  <si>
    <t>0023120000</t>
  </si>
  <si>
    <t>0023121000</t>
  </si>
  <si>
    <t>0023121001</t>
  </si>
  <si>
    <t>0023121002</t>
  </si>
  <si>
    <t>0023121003</t>
  </si>
  <si>
    <t>0023121004</t>
  </si>
  <si>
    <t>0023121005</t>
  </si>
  <si>
    <t>0023121006</t>
  </si>
  <si>
    <t>0023129000</t>
  </si>
  <si>
    <t>0023130000</t>
  </si>
  <si>
    <t>0023410000</t>
  </si>
  <si>
    <t>0023410100</t>
  </si>
  <si>
    <t>0023410999</t>
  </si>
  <si>
    <t>0023411000</t>
  </si>
  <si>
    <t>0023411001</t>
  </si>
  <si>
    <t>0023411400</t>
  </si>
  <si>
    <t>0023411500</t>
  </si>
  <si>
    <t>0023412000</t>
  </si>
  <si>
    <t>0023412200</t>
  </si>
  <si>
    <t>0023412500</t>
  </si>
  <si>
    <t>0023420000</t>
  </si>
  <si>
    <t>0023430000</t>
  </si>
  <si>
    <t>0023430600</t>
  </si>
  <si>
    <t>0023430700</t>
  </si>
  <si>
    <t>0023430900</t>
  </si>
  <si>
    <t>0023431000</t>
  </si>
  <si>
    <t>0023435000</t>
  </si>
  <si>
    <t>0023436000</t>
  </si>
  <si>
    <t>0023439000</t>
  </si>
  <si>
    <t>0023510000</t>
  </si>
  <si>
    <t>0023510500</t>
  </si>
  <si>
    <t>0023510600</t>
  </si>
  <si>
    <t>0023520000</t>
  </si>
  <si>
    <t>0023520001</t>
  </si>
  <si>
    <t>0023530000</t>
  </si>
  <si>
    <t>0023530100</t>
  </si>
  <si>
    <t>0023530200</t>
  </si>
  <si>
    <t>0023530300</t>
  </si>
  <si>
    <t>0023530400</t>
  </si>
  <si>
    <t>0023530500</t>
  </si>
  <si>
    <t>0023530600</t>
  </si>
  <si>
    <t>0023540000</t>
  </si>
  <si>
    <t>0023540001</t>
  </si>
  <si>
    <t>0023540100</t>
  </si>
  <si>
    <t>0023540101</t>
  </si>
  <si>
    <t>0023540200</t>
  </si>
  <si>
    <t>0023540201</t>
  </si>
  <si>
    <t>0023540300</t>
  </si>
  <si>
    <t>0023540301</t>
  </si>
  <si>
    <t>0023540400</t>
  </si>
  <si>
    <t>0023540401</t>
  </si>
  <si>
    <t>0023540501</t>
  </si>
  <si>
    <t>0023540601</t>
  </si>
  <si>
    <t>0023599999</t>
  </si>
  <si>
    <t>0023621000</t>
  </si>
  <si>
    <t>0023621500</t>
  </si>
  <si>
    <t>0023622000</t>
  </si>
  <si>
    <t>0023622500</t>
  </si>
  <si>
    <t>0023631000</t>
  </si>
  <si>
    <t>0023631500</t>
  </si>
  <si>
    <t>0023632000</t>
  </si>
  <si>
    <t>0023632500</t>
  </si>
  <si>
    <t>0023651000</t>
  </si>
  <si>
    <t>0023651100</t>
  </si>
  <si>
    <t>0023652000</t>
  </si>
  <si>
    <t>0023652100</t>
  </si>
  <si>
    <t>0023652200</t>
  </si>
  <si>
    <t>0023652300</t>
  </si>
  <si>
    <t>0023652400</t>
  </si>
  <si>
    <t>0023653000</t>
  </si>
  <si>
    <t>0023654000</t>
  </si>
  <si>
    <t>0023654100</t>
  </si>
  <si>
    <t>0023654110</t>
  </si>
  <si>
    <t>0023654200</t>
  </si>
  <si>
    <t>0023654300</t>
  </si>
  <si>
    <t>0023654310</t>
  </si>
  <si>
    <t>0023659000</t>
  </si>
  <si>
    <t>0023720000</t>
  </si>
  <si>
    <t>0023730000</t>
  </si>
  <si>
    <t>0023740000</t>
  </si>
  <si>
    <t>0023750000</t>
  </si>
  <si>
    <t>0024120000</t>
  </si>
  <si>
    <t>0024120100</t>
  </si>
  <si>
    <t>0024120200</t>
  </si>
  <si>
    <t>0024120300</t>
  </si>
  <si>
    <t>0024120600</t>
  </si>
  <si>
    <t>0024120699</t>
  </si>
  <si>
    <t>0024120700</t>
  </si>
  <si>
    <t>0024120710</t>
  </si>
  <si>
    <t>0024120720</t>
  </si>
  <si>
    <t>0024120800</t>
  </si>
  <si>
    <t>0024121000</t>
  </si>
  <si>
    <t>0024121100</t>
  </si>
  <si>
    <t>0024121200</t>
  </si>
  <si>
    <t>0024121300</t>
  </si>
  <si>
    <t>0024121400</t>
  </si>
  <si>
    <t>0024121500</t>
  </si>
  <si>
    <t>0024121800</t>
  </si>
  <si>
    <t>0024121900</t>
  </si>
  <si>
    <t>0024122500</t>
  </si>
  <si>
    <t>0024122600</t>
  </si>
  <si>
    <t>0024122700</t>
  </si>
  <si>
    <t>0024122800</t>
  </si>
  <si>
    <t>0024122850</t>
  </si>
  <si>
    <t>0024122900</t>
  </si>
  <si>
    <t>0024123000</t>
  </si>
  <si>
    <t>0024123100</t>
  </si>
  <si>
    <t>0024126000</t>
  </si>
  <si>
    <t>0024126200</t>
  </si>
  <si>
    <t>0024126300</t>
  </si>
  <si>
    <t>0024126400</t>
  </si>
  <si>
    <t>0024126500</t>
  </si>
  <si>
    <t>0024129000</t>
  </si>
  <si>
    <t>0024133000</t>
  </si>
  <si>
    <t>0024133200</t>
  </si>
  <si>
    <t>0024133300</t>
  </si>
  <si>
    <t>0024142001</t>
  </si>
  <si>
    <t>0024142002</t>
  </si>
  <si>
    <t>0024142003</t>
  </si>
  <si>
    <t>0024142005</t>
  </si>
  <si>
    <t>0024142006</t>
  </si>
  <si>
    <t>0024142008</t>
  </si>
  <si>
    <t>0024142009</t>
  </si>
  <si>
    <t>0024142010</t>
  </si>
  <si>
    <t>0024142011</t>
  </si>
  <si>
    <t>0024142012</t>
  </si>
  <si>
    <t>0024142013</t>
  </si>
  <si>
    <t>0024142014</t>
  </si>
  <si>
    <t>0024142099</t>
  </si>
  <si>
    <t>0024142100</t>
  </si>
  <si>
    <t>0024150000</t>
  </si>
  <si>
    <t>0024161000</t>
  </si>
  <si>
    <t>0024162000</t>
  </si>
  <si>
    <t>0024163000</t>
  </si>
  <si>
    <t>0024164000</t>
  </si>
  <si>
    <t>0024165000</t>
  </si>
  <si>
    <t>0024166000</t>
  </si>
  <si>
    <t>0024169999</t>
  </si>
  <si>
    <t>0024171000</t>
  </si>
  <si>
    <t>0024171001</t>
  </si>
  <si>
    <t>0024171005</t>
  </si>
  <si>
    <t>0024171006</t>
  </si>
  <si>
    <t>0024171009</t>
  </si>
  <si>
    <t>0024171011</t>
  </si>
  <si>
    <t>0024171012</t>
  </si>
  <si>
    <t>0024171013</t>
  </si>
  <si>
    <t>0024171014</t>
  </si>
  <si>
    <t>0024172000</t>
  </si>
  <si>
    <t>0024172001</t>
  </si>
  <si>
    <t>0024172002</t>
  </si>
  <si>
    <t>0024172003</t>
  </si>
  <si>
    <t>0024172004</t>
  </si>
  <si>
    <t>0024172005</t>
  </si>
  <si>
    <t>0024172006</t>
  </si>
  <si>
    <t>0024172007</t>
  </si>
  <si>
    <t>0024172008</t>
  </si>
  <si>
    <t>0024172009</t>
  </si>
  <si>
    <t>0024172010</t>
  </si>
  <si>
    <t>0024172011</t>
  </si>
  <si>
    <t>0024172012</t>
  </si>
  <si>
    <t>0024172013</t>
  </si>
  <si>
    <t>0024172014</t>
  </si>
  <si>
    <t>0024172015</t>
  </si>
  <si>
    <t>0024172016</t>
  </si>
  <si>
    <t>0024172017</t>
  </si>
  <si>
    <t>0024172100</t>
  </si>
  <si>
    <t>0024173000</t>
  </si>
  <si>
    <t>0024173100</t>
  </si>
  <si>
    <t>0024174000</t>
  </si>
  <si>
    <t>0024174100</t>
  </si>
  <si>
    <t>0024175100</t>
  </si>
  <si>
    <t>0024199100</t>
  </si>
  <si>
    <t>0024199200</t>
  </si>
  <si>
    <t>0024199500</t>
  </si>
  <si>
    <t>0024199600</t>
  </si>
  <si>
    <t>0024199700</t>
  </si>
  <si>
    <t>0024199701</t>
  </si>
  <si>
    <t>0024199800</t>
  </si>
  <si>
    <t>0024199900</t>
  </si>
  <si>
    <t>0025211000</t>
  </si>
  <si>
    <t>0025212000</t>
  </si>
  <si>
    <t>0025213000</t>
  </si>
  <si>
    <t>0025214000</t>
  </si>
  <si>
    <t>0025215000</t>
  </si>
  <si>
    <t>0025216000</t>
  </si>
  <si>
    <t>0025217000</t>
  </si>
  <si>
    <t>0025221000</t>
  </si>
  <si>
    <t>0025222000</t>
  </si>
  <si>
    <t>0025223000</t>
  </si>
  <si>
    <t>0025224000</t>
  </si>
  <si>
    <t>0025225000</t>
  </si>
  <si>
    <t>0025226000</t>
  </si>
  <si>
    <t>0025227000</t>
  </si>
  <si>
    <t>0025230000</t>
  </si>
  <si>
    <t>0025241000</t>
  </si>
  <si>
    <t>0025242000</t>
  </si>
  <si>
    <t>0025243000</t>
  </si>
  <si>
    <t>0025244000</t>
  </si>
  <si>
    <t>0025245000</t>
  </si>
  <si>
    <t>0025246000</t>
  </si>
  <si>
    <t>0025280000</t>
  </si>
  <si>
    <t>0025299900</t>
  </si>
  <si>
    <t>0025310000</t>
  </si>
  <si>
    <t>0025311000</t>
  </si>
  <si>
    <t>0025311500</t>
  </si>
  <si>
    <t>0025319000</t>
  </si>
  <si>
    <t>0025321000</t>
  </si>
  <si>
    <t>0025321500</t>
  </si>
  <si>
    <t>0025329000</t>
  </si>
  <si>
    <t>0025340000</t>
  </si>
  <si>
    <t>0025349000</t>
  </si>
  <si>
    <t>0025350000</t>
  </si>
  <si>
    <t>0025359000</t>
  </si>
  <si>
    <t>0025510100</t>
  </si>
  <si>
    <t>0025510200</t>
  </si>
  <si>
    <t>0025510300</t>
  </si>
  <si>
    <t>0025510400</t>
  </si>
  <si>
    <t>0025510500</t>
  </si>
  <si>
    <t>0025621000</t>
  </si>
  <si>
    <t>0025621100</t>
  </si>
  <si>
    <t>0025621200</t>
  </si>
  <si>
    <t>0025622000</t>
  </si>
  <si>
    <t>0025623000</t>
  </si>
  <si>
    <t>0025623100</t>
  </si>
  <si>
    <t>0025623200</t>
  </si>
  <si>
    <t>0025624000</t>
  </si>
  <si>
    <t>0025624100</t>
  </si>
  <si>
    <t>0025626000</t>
  </si>
  <si>
    <t>0025626100</t>
  </si>
  <si>
    <t>0025626200</t>
  </si>
  <si>
    <t>0025626300</t>
  </si>
  <si>
    <t>0025626500</t>
  </si>
  <si>
    <t>0025629000</t>
  </si>
  <si>
    <t>0025632000</t>
  </si>
  <si>
    <t>0025632100</t>
  </si>
  <si>
    <t>0025632300</t>
  </si>
  <si>
    <t>0025632400</t>
  </si>
  <si>
    <t>0025632500</t>
  </si>
  <si>
    <t>0025632600</t>
  </si>
  <si>
    <t>0025632700</t>
  </si>
  <si>
    <t>0025632800</t>
  </si>
  <si>
    <t>0025632900</t>
  </si>
  <si>
    <t>0025633000</t>
  </si>
  <si>
    <t>0025633100</t>
  </si>
  <si>
    <t>0025633200</t>
  </si>
  <si>
    <t>0025633300</t>
  </si>
  <si>
    <t>0025633400</t>
  </si>
  <si>
    <t>0025633500</t>
  </si>
  <si>
    <t>0025633700</t>
  </si>
  <si>
    <t>0025633800</t>
  </si>
  <si>
    <t>0025634100</t>
  </si>
  <si>
    <t>0025634400</t>
  </si>
  <si>
    <t>0025634500</t>
  </si>
  <si>
    <t>0025634600</t>
  </si>
  <si>
    <t>0025634700</t>
  </si>
  <si>
    <t>0025634800</t>
  </si>
  <si>
    <t>0025634900</t>
  </si>
  <si>
    <t>0025635500</t>
  </si>
  <si>
    <t>0025680163</t>
  </si>
  <si>
    <t>0025689900</t>
  </si>
  <si>
    <t>0025700000</t>
  </si>
  <si>
    <t>0025710000</t>
  </si>
  <si>
    <t>0026212000</t>
  </si>
  <si>
    <t>0026214000</t>
  </si>
  <si>
    <t>0026215000</t>
  </si>
  <si>
    <t>0026216000</t>
  </si>
  <si>
    <t>0026221000</t>
  </si>
  <si>
    <t>0026221100</t>
  </si>
  <si>
    <t>0026221500</t>
  </si>
  <si>
    <t>0026233000</t>
  </si>
  <si>
    <t>0026233100</t>
  </si>
  <si>
    <t>0026233200</t>
  </si>
  <si>
    <t>0026233300</t>
  </si>
  <si>
    <t>0026233800</t>
  </si>
  <si>
    <t>0026233900</t>
  </si>
  <si>
    <t>0026234000</t>
  </si>
  <si>
    <t>0026237100</t>
  </si>
  <si>
    <t>0026237500</t>
  </si>
  <si>
    <t>0026281100</t>
  </si>
  <si>
    <t>0026281150</t>
  </si>
  <si>
    <t>0026281200</t>
  </si>
  <si>
    <t>0026281250</t>
  </si>
  <si>
    <t>0026281300</t>
  </si>
  <si>
    <t>0026281350</t>
  </si>
  <si>
    <t>0026281400</t>
  </si>
  <si>
    <t>0026281450</t>
  </si>
  <si>
    <t>0026281500</t>
  </si>
  <si>
    <t>0026281600</t>
  </si>
  <si>
    <t>0026281700</t>
  </si>
  <si>
    <t>0026281800</t>
  </si>
  <si>
    <t>0026281900</t>
  </si>
  <si>
    <t>0026281997</t>
  </si>
  <si>
    <t>0026281998</t>
  </si>
  <si>
    <t>0026281999</t>
  </si>
  <si>
    <t>0026282000</t>
  </si>
  <si>
    <t>0026300000</t>
  </si>
  <si>
    <t>0026400000</t>
  </si>
  <si>
    <t>0026580000</t>
  </si>
  <si>
    <t>0026580100</t>
  </si>
  <si>
    <t>0026581000</t>
  </si>
  <si>
    <t>0026581100</t>
  </si>
  <si>
    <t>0027111000</t>
  </si>
  <si>
    <t>0027112000</t>
  </si>
  <si>
    <t>0027113000</t>
  </si>
  <si>
    <t>0027114000</t>
  </si>
  <si>
    <t>0027115000</t>
  </si>
  <si>
    <t>0027116000</t>
  </si>
  <si>
    <t>0027116001</t>
  </si>
  <si>
    <t>0027116002</t>
  </si>
  <si>
    <t>0027116010</t>
  </si>
  <si>
    <t>0027116020</t>
  </si>
  <si>
    <t>0027116030</t>
  </si>
  <si>
    <t>0027116040</t>
  </si>
  <si>
    <t>0027116051</t>
  </si>
  <si>
    <t>0027116052</t>
  </si>
  <si>
    <t>0027116060</t>
  </si>
  <si>
    <t>0027117000</t>
  </si>
  <si>
    <t>0027118000</t>
  </si>
  <si>
    <t>0027121000</t>
  </si>
  <si>
    <t>0027122000</t>
  </si>
  <si>
    <t>0027123000</t>
  </si>
  <si>
    <t>0027124000</t>
  </si>
  <si>
    <t>0027125000</t>
  </si>
  <si>
    <t>0027126000</t>
  </si>
  <si>
    <t>0027127000</t>
  </si>
  <si>
    <t>0027131000</t>
  </si>
  <si>
    <t>0027133000</t>
  </si>
  <si>
    <t>0027135000</t>
  </si>
  <si>
    <t>0027136000</t>
  </si>
  <si>
    <t>0027137000</t>
  </si>
  <si>
    <t>0027141000</t>
  </si>
  <si>
    <t>0027142000</t>
  </si>
  <si>
    <t>0027143000</t>
  </si>
  <si>
    <t>0027144000</t>
  </si>
  <si>
    <t>0027145000</t>
  </si>
  <si>
    <t>0027146000</t>
  </si>
  <si>
    <t>0027201000</t>
  </si>
  <si>
    <t>0027203000</t>
  </si>
  <si>
    <t>0027204000</t>
  </si>
  <si>
    <t>0027205000</t>
  </si>
  <si>
    <t>0027206000</t>
  </si>
  <si>
    <t>0027210000</t>
  </si>
  <si>
    <t>0029999999</t>
  </si>
  <si>
    <t>0040111000</t>
  </si>
  <si>
    <t>PCTR</t>
  </si>
  <si>
    <t>0040111001</t>
  </si>
  <si>
    <t>0040111100</t>
  </si>
  <si>
    <t>0040111199</t>
  </si>
  <si>
    <t>0040111200</t>
  </si>
  <si>
    <t>0040111300</t>
  </si>
  <si>
    <t>0040111400</t>
  </si>
  <si>
    <t>0040112000</t>
  </si>
  <si>
    <t>0040121000</t>
  </si>
  <si>
    <t>0040121100</t>
  </si>
  <si>
    <t>0040121200</t>
  </si>
  <si>
    <t>0040121300</t>
  </si>
  <si>
    <t>0040121400</t>
  </si>
  <si>
    <t>0040122000</t>
  </si>
  <si>
    <t>0040131000</t>
  </si>
  <si>
    <t>0040131100</t>
  </si>
  <si>
    <t>0040131200</t>
  </si>
  <si>
    <t>0040131400</t>
  </si>
  <si>
    <t>0040132000</t>
  </si>
  <si>
    <t>0040138000</t>
  </si>
  <si>
    <t>0040138200</t>
  </si>
  <si>
    <t>0040141000</t>
  </si>
  <si>
    <t>0040141100</t>
  </si>
  <si>
    <t>0040141200</t>
  </si>
  <si>
    <t>0040141400</t>
  </si>
  <si>
    <t>0040142000</t>
  </si>
  <si>
    <t>0040145000</t>
  </si>
  <si>
    <t>0040145100</t>
  </si>
  <si>
    <t>0040145200</t>
  </si>
  <si>
    <t>0040145400</t>
  </si>
  <si>
    <t>0040146000</t>
  </si>
  <si>
    <t>0040151000</t>
  </si>
  <si>
    <t>0040151100</t>
  </si>
  <si>
    <t>0040151200</t>
  </si>
  <si>
    <t>0040151400</t>
  </si>
  <si>
    <t>0040152000</t>
  </si>
  <si>
    <t>0040161000</t>
  </si>
  <si>
    <t>0040161050</t>
  </si>
  <si>
    <t>0040161100</t>
  </si>
  <si>
    <t>0040161200</t>
  </si>
  <si>
    <t>0040161250</t>
  </si>
  <si>
    <t>0040161400</t>
  </si>
  <si>
    <t>0040162000</t>
  </si>
  <si>
    <t>0040171000</t>
  </si>
  <si>
    <t>0040171100</t>
  </si>
  <si>
    <t>0040171200</t>
  </si>
  <si>
    <t>0040171300</t>
  </si>
  <si>
    <t>0040171400</t>
  </si>
  <si>
    <t/>
  </si>
  <si>
    <t>0040172000</t>
  </si>
  <si>
    <t>0040175100</t>
  </si>
  <si>
    <t>0040180100</t>
  </si>
  <si>
    <t>0040180200</t>
  </si>
  <si>
    <t>0040180300</t>
  </si>
  <si>
    <t>0040189900</t>
  </si>
  <si>
    <t>0040211000</t>
  </si>
  <si>
    <t>0040211001</t>
  </si>
  <si>
    <t>0040211100</t>
  </si>
  <si>
    <t>0040211200</t>
  </si>
  <si>
    <t>0040211300</t>
  </si>
  <si>
    <t>0040211400</t>
  </si>
  <si>
    <t>0040212000</t>
  </si>
  <si>
    <t>0040221000</t>
  </si>
  <si>
    <t>0040221100</t>
  </si>
  <si>
    <t>0040221200</t>
  </si>
  <si>
    <t>0040221300</t>
  </si>
  <si>
    <t>0040221400</t>
  </si>
  <si>
    <t>0040222000</t>
  </si>
  <si>
    <t>0040231000</t>
  </si>
  <si>
    <t>0040231100</t>
  </si>
  <si>
    <t>0040231200</t>
  </si>
  <si>
    <t>0040231300</t>
  </si>
  <si>
    <t>0040231400</t>
  </si>
  <si>
    <t>0040232000</t>
  </si>
  <si>
    <t>0040238000</t>
  </si>
  <si>
    <t>0040251000</t>
  </si>
  <si>
    <t>0040251100</t>
  </si>
  <si>
    <t>0040251200</t>
  </si>
  <si>
    <t>0040251300</t>
  </si>
  <si>
    <t>0040251400</t>
  </si>
  <si>
    <t>0040252000</t>
  </si>
  <si>
    <t>0040261200</t>
  </si>
  <si>
    <t>0040261400</t>
  </si>
  <si>
    <t>0040271000</t>
  </si>
  <si>
    <t>0040271100</t>
  </si>
  <si>
    <t>0040271200</t>
  </si>
  <si>
    <t>0040271300</t>
  </si>
  <si>
    <t>0040271400</t>
  </si>
  <si>
    <t>0040272000</t>
  </si>
  <si>
    <t>0040280000</t>
  </si>
  <si>
    <t>0040290000</t>
  </si>
  <si>
    <t>0040300100</t>
  </si>
  <si>
    <t>0040310000</t>
  </si>
  <si>
    <t>0040310100</t>
  </si>
  <si>
    <t>0040310200</t>
  </si>
  <si>
    <t>0040310250</t>
  </si>
  <si>
    <t>0040310300</t>
  </si>
  <si>
    <t>0040310400</t>
  </si>
  <si>
    <t>0040310500</t>
  </si>
  <si>
    <t>0040310600</t>
  </si>
  <si>
    <t>0040310700</t>
  </si>
  <si>
    <t>0040310800</t>
  </si>
  <si>
    <t>0040310900</t>
  </si>
  <si>
    <t>0040311600</t>
  </si>
  <si>
    <t>0040313000</t>
  </si>
  <si>
    <t>0040319900</t>
  </si>
  <si>
    <t>0040351100</t>
  </si>
  <si>
    <t>0040359900</t>
  </si>
  <si>
    <t>0040399999</t>
  </si>
  <si>
    <t>0040999999</t>
  </si>
  <si>
    <t>0045000000</t>
  </si>
  <si>
    <t>0045000001</t>
  </si>
  <si>
    <t>0045000002</t>
  </si>
  <si>
    <t>0050100000</t>
  </si>
  <si>
    <t>0050100001</t>
  </si>
  <si>
    <t>0050100002</t>
  </si>
  <si>
    <t>0050101100</t>
  </si>
  <si>
    <t>0050101105</t>
  </si>
  <si>
    <t>0050101200</t>
  </si>
  <si>
    <t>0050101205</t>
  </si>
  <si>
    <t>0050101210</t>
  </si>
  <si>
    <t>0050101215</t>
  </si>
  <si>
    <t>0050101300</t>
  </si>
  <si>
    <t>0050101305</t>
  </si>
  <si>
    <t>0050101400</t>
  </si>
  <si>
    <t>0050101405</t>
  </si>
  <si>
    <t>0050101410</t>
  </si>
  <si>
    <t>0050101415</t>
  </si>
  <si>
    <t>0050101420</t>
  </si>
  <si>
    <t>0050101425</t>
  </si>
  <si>
    <t>0050101500</t>
  </si>
  <si>
    <t>0050101505</t>
  </si>
  <si>
    <t>0050101510</t>
  </si>
  <si>
    <t>0050101515</t>
  </si>
  <si>
    <t>0050101520</t>
  </si>
  <si>
    <t>0050101600</t>
  </si>
  <si>
    <t>0050101601</t>
  </si>
  <si>
    <t>0050102100</t>
  </si>
  <si>
    <t>0050102105</t>
  </si>
  <si>
    <t>0050102110</t>
  </si>
  <si>
    <t>0050102115</t>
  </si>
  <si>
    <t>0050102120</t>
  </si>
  <si>
    <t>0050102125</t>
  </si>
  <si>
    <t>0050102130</t>
  </si>
  <si>
    <t>0050102135</t>
  </si>
  <si>
    <t>0050102200</t>
  </si>
  <si>
    <t>0050102205</t>
  </si>
  <si>
    <t>0050102210</t>
  </si>
  <si>
    <t>0050102215</t>
  </si>
  <si>
    <t>0050102300</t>
  </si>
  <si>
    <t>0050102305</t>
  </si>
  <si>
    <t>0050102310</t>
  </si>
  <si>
    <t>0050102315</t>
  </si>
  <si>
    <t>0050102400</t>
  </si>
  <si>
    <t>0050102405</t>
  </si>
  <si>
    <t>0050102410</t>
  </si>
  <si>
    <t>0050102415</t>
  </si>
  <si>
    <t>0050102420</t>
  </si>
  <si>
    <t>0050102425</t>
  </si>
  <si>
    <t>0050102430</t>
  </si>
  <si>
    <t>0050102435</t>
  </si>
  <si>
    <t>0050102440</t>
  </si>
  <si>
    <t>0050102600</t>
  </si>
  <si>
    <t>0050109900</t>
  </si>
  <si>
    <t>0050110000</t>
  </si>
  <si>
    <t>0050111100</t>
  </si>
  <si>
    <t>0050111105</t>
  </si>
  <si>
    <t>0050111200</t>
  </si>
  <si>
    <t>0050111205</t>
  </si>
  <si>
    <t>0050111210</t>
  </si>
  <si>
    <t>0050111215</t>
  </si>
  <si>
    <t>0050111300</t>
  </si>
  <si>
    <t>0050111305</t>
  </si>
  <si>
    <t>0050111400</t>
  </si>
  <si>
    <t>0050111405</t>
  </si>
  <si>
    <t>0050111410</t>
  </si>
  <si>
    <t>0050111415</t>
  </si>
  <si>
    <t>0050111420</t>
  </si>
  <si>
    <t>0050111425</t>
  </si>
  <si>
    <t>0050111500</t>
  </si>
  <si>
    <t>0050111505</t>
  </si>
  <si>
    <t>0050111510</t>
  </si>
  <si>
    <t>0050111515</t>
  </si>
  <si>
    <t>0050111520</t>
  </si>
  <si>
    <t>0050111600</t>
  </si>
  <si>
    <t>0050112100</t>
  </si>
  <si>
    <t>0050112105</t>
  </si>
  <si>
    <t>0050112110</t>
  </si>
  <si>
    <t>0050112115</t>
  </si>
  <si>
    <t>0050112120</t>
  </si>
  <si>
    <t>0050112125</t>
  </si>
  <si>
    <t>0050112130</t>
  </si>
  <si>
    <t>0050112135</t>
  </si>
  <si>
    <t>0050112200</t>
  </si>
  <si>
    <t>0050112205</t>
  </si>
  <si>
    <t>0050112210</t>
  </si>
  <si>
    <t>0050112215</t>
  </si>
  <si>
    <t>0050112300</t>
  </si>
  <si>
    <t>0050112305</t>
  </si>
  <si>
    <t>0050112310</t>
  </si>
  <si>
    <t>0050112315</t>
  </si>
  <si>
    <t>0050112400</t>
  </si>
  <si>
    <t>0050112405</t>
  </si>
  <si>
    <t>0050112410</t>
  </si>
  <si>
    <t>0050112415</t>
  </si>
  <si>
    <t>0050112420</t>
  </si>
  <si>
    <t>0050112425</t>
  </si>
  <si>
    <t>0050112430</t>
  </si>
  <si>
    <t>0050112435</t>
  </si>
  <si>
    <t>0050112440</t>
  </si>
  <si>
    <t>0050112600</t>
  </si>
  <si>
    <t>0050119900</t>
  </si>
  <si>
    <t>0050120000</t>
  </si>
  <si>
    <t>0050121100</t>
  </si>
  <si>
    <t>0050121105</t>
  </si>
  <si>
    <t>0050121200</t>
  </si>
  <si>
    <t>0050121205</t>
  </si>
  <si>
    <t>0050121210</t>
  </si>
  <si>
    <t>0050121215</t>
  </si>
  <si>
    <t>0050121300</t>
  </si>
  <si>
    <t>0050121305</t>
  </si>
  <si>
    <t>0050121400</t>
  </si>
  <si>
    <t>0050121405</t>
  </si>
  <si>
    <t>0050121410</t>
  </si>
  <si>
    <t>0050121415</t>
  </si>
  <si>
    <t>0050121420</t>
  </si>
  <si>
    <t>0050121425</t>
  </si>
  <si>
    <t>0050121500</t>
  </si>
  <si>
    <t>0050121505</t>
  </si>
  <si>
    <t>0050121510</t>
  </si>
  <si>
    <t>0050121515</t>
  </si>
  <si>
    <t>0050121520</t>
  </si>
  <si>
    <t>0050121600</t>
  </si>
  <si>
    <t>0050122100</t>
  </si>
  <si>
    <t>0050122105</t>
  </si>
  <si>
    <t>0050122110</t>
  </si>
  <si>
    <t>0050122115</t>
  </si>
  <si>
    <t>0050122120</t>
  </si>
  <si>
    <t>0050122125</t>
  </si>
  <si>
    <t>0050122130</t>
  </si>
  <si>
    <t>0050122135</t>
  </si>
  <si>
    <t>0050122200</t>
  </si>
  <si>
    <t>0050122205</t>
  </si>
  <si>
    <t>0050122210</t>
  </si>
  <si>
    <t>0050122215</t>
  </si>
  <si>
    <t>0050122300</t>
  </si>
  <si>
    <t>0050122305</t>
  </si>
  <si>
    <t>0050122310</t>
  </si>
  <si>
    <t>0050122315</t>
  </si>
  <si>
    <t>0050122400</t>
  </si>
  <si>
    <t>0050122405</t>
  </si>
  <si>
    <t>0050122410</t>
  </si>
  <si>
    <t>0050122415</t>
  </si>
  <si>
    <t>0050122420</t>
  </si>
  <si>
    <t>0050122425</t>
  </si>
  <si>
    <t>0050122430</t>
  </si>
  <si>
    <t>0050122435</t>
  </si>
  <si>
    <t>0050122440</t>
  </si>
  <si>
    <t>0050122600</t>
  </si>
  <si>
    <t>0050129900</t>
  </si>
  <si>
    <t>0050171000</t>
  </si>
  <si>
    <t>0050171100</t>
  </si>
  <si>
    <t>0050171600</t>
  </si>
  <si>
    <t>0050171800</t>
  </si>
  <si>
    <t>0050185000</t>
  </si>
  <si>
    <t>0050421000</t>
  </si>
  <si>
    <t>0050421100</t>
  </si>
  <si>
    <t>0050422000</t>
  </si>
  <si>
    <t>0050422100</t>
  </si>
  <si>
    <t>0050423000</t>
  </si>
  <si>
    <t>0050424000</t>
  </si>
  <si>
    <t>0050425000</t>
  </si>
  <si>
    <t>0050426000</t>
  </si>
  <si>
    <t>0050426100</t>
  </si>
  <si>
    <t>0050427000</t>
  </si>
  <si>
    <t>0050450000</t>
  </si>
  <si>
    <t>0050450011</t>
  </si>
  <si>
    <t>0050450012</t>
  </si>
  <si>
    <t>0050450013</t>
  </si>
  <si>
    <t>0050450014</t>
  </si>
  <si>
    <t>0050450015</t>
  </si>
  <si>
    <t>0050450016</t>
  </si>
  <si>
    <t>0050451000</t>
  </si>
  <si>
    <t>0050452000</t>
  </si>
  <si>
    <t>0050454000</t>
  </si>
  <si>
    <t>0050456000</t>
  </si>
  <si>
    <t>0050457000</t>
  </si>
  <si>
    <t>0050458000</t>
  </si>
  <si>
    <t>0050510000</t>
  </si>
  <si>
    <t>0050510100</t>
  </si>
  <si>
    <t>0050550000</t>
  </si>
  <si>
    <t>0050550100</t>
  </si>
  <si>
    <t>0050560000</t>
  </si>
  <si>
    <t>0050610000</t>
  </si>
  <si>
    <t>0050610100</t>
  </si>
  <si>
    <t>0050620000</t>
  </si>
  <si>
    <t>0050630000</t>
  </si>
  <si>
    <t>0051010000</t>
  </si>
  <si>
    <t>0051010500</t>
  </si>
  <si>
    <t>0051015000</t>
  </si>
  <si>
    <t>0051020000</t>
  </si>
  <si>
    <t>0051110000</t>
  </si>
  <si>
    <t>0051110500</t>
  </si>
  <si>
    <t>0051110600</t>
  </si>
  <si>
    <t>0051115000</t>
  </si>
  <si>
    <t>0051120000</t>
  </si>
  <si>
    <t>0051510000</t>
  </si>
  <si>
    <t>0051510011</t>
  </si>
  <si>
    <t>0051510012</t>
  </si>
  <si>
    <t>0051510013</t>
  </si>
  <si>
    <t>0051510014</t>
  </si>
  <si>
    <t>0051510015</t>
  </si>
  <si>
    <t>0051510016</t>
  </si>
  <si>
    <t>0051510500</t>
  </si>
  <si>
    <t>0051520000</t>
  </si>
  <si>
    <t>0051800000</t>
  </si>
  <si>
    <t>0051850000</t>
  </si>
  <si>
    <t>0052000000</t>
  </si>
  <si>
    <t>0052001100</t>
  </si>
  <si>
    <t>0052001200</t>
  </si>
  <si>
    <t>0052001300</t>
  </si>
  <si>
    <t>0052001400</t>
  </si>
  <si>
    <t>0052001500</t>
  </si>
  <si>
    <t>0052001600</t>
  </si>
  <si>
    <t>0052500000</t>
  </si>
  <si>
    <t>0052501100</t>
  </si>
  <si>
    <t>0052501200</t>
  </si>
  <si>
    <t>0052501300</t>
  </si>
  <si>
    <t>0052501400</t>
  </si>
  <si>
    <t>0052501410</t>
  </si>
  <si>
    <t>0052501415</t>
  </si>
  <si>
    <t>0052501420</t>
  </si>
  <si>
    <t>0052501425</t>
  </si>
  <si>
    <t>0052501500</t>
  </si>
  <si>
    <t>0052501510</t>
  </si>
  <si>
    <t>0052501515</t>
  </si>
  <si>
    <t>0052501520</t>
  </si>
  <si>
    <t>0052501600</t>
  </si>
  <si>
    <t>0052503000</t>
  </si>
  <si>
    <t>0052510000</t>
  </si>
  <si>
    <t>0052510015</t>
  </si>
  <si>
    <t>0052510016</t>
  </si>
  <si>
    <t>0052512500</t>
  </si>
  <si>
    <t>0052513200</t>
  </si>
  <si>
    <t>0052514000</t>
  </si>
  <si>
    <t>0052514100</t>
  </si>
  <si>
    <t>0052514500</t>
  </si>
  <si>
    <t>0052514600</t>
  </si>
  <si>
    <t>0052514700</t>
  </si>
  <si>
    <t>0052514800</t>
  </si>
  <si>
    <t>0052514900</t>
  </si>
  <si>
    <t>0052514901</t>
  </si>
  <si>
    <t>0052514902</t>
  </si>
  <si>
    <t>0052514903</t>
  </si>
  <si>
    <t>0052514904</t>
  </si>
  <si>
    <t>0052514905</t>
  </si>
  <si>
    <t>0052514906</t>
  </si>
  <si>
    <t>0052514907</t>
  </si>
  <si>
    <t>0052514908</t>
  </si>
  <si>
    <t>0052514909</t>
  </si>
  <si>
    <t>0052514910</t>
  </si>
  <si>
    <t>0052515000</t>
  </si>
  <si>
    <t>0052515001</t>
  </si>
  <si>
    <t>0052520000</t>
  </si>
  <si>
    <t>0052522000</t>
  </si>
  <si>
    <t>0052524000</t>
  </si>
  <si>
    <t>0052524100</t>
  </si>
  <si>
    <t>0052525000</t>
  </si>
  <si>
    <t>0052525500</t>
  </si>
  <si>
    <t>0052526000</t>
  </si>
  <si>
    <t>0052526100</t>
  </si>
  <si>
    <t>0052527000</t>
  </si>
  <si>
    <t>0052527100</t>
  </si>
  <si>
    <t>0052532000</t>
  </si>
  <si>
    <t>0052532011</t>
  </si>
  <si>
    <t>0052532013</t>
  </si>
  <si>
    <t>0052532014</t>
  </si>
  <si>
    <t>0052532015</t>
  </si>
  <si>
    <t>0052532016</t>
  </si>
  <si>
    <t>0052534000</t>
  </si>
  <si>
    <t>0052534200</t>
  </si>
  <si>
    <t>0052535000</t>
  </si>
  <si>
    <t>0052535100</t>
  </si>
  <si>
    <t>0052540000</t>
  </si>
  <si>
    <t>0052542000</t>
  </si>
  <si>
    <t>0052542015</t>
  </si>
  <si>
    <t>0052542016</t>
  </si>
  <si>
    <t>0052546000</t>
  </si>
  <si>
    <t>0052546011</t>
  </si>
  <si>
    <t>0052546013</t>
  </si>
  <si>
    <t>0052546014</t>
  </si>
  <si>
    <t>0052546016</t>
  </si>
  <si>
    <t>0052548000</t>
  </si>
  <si>
    <t>0052548011</t>
  </si>
  <si>
    <t>0052548013</t>
  </si>
  <si>
    <t>0052548014</t>
  </si>
  <si>
    <t>0052548015</t>
  </si>
  <si>
    <t>0052548016</t>
  </si>
  <si>
    <t>0052548100</t>
  </si>
  <si>
    <t>0052549000</t>
  </si>
  <si>
    <t>0052549500</t>
  </si>
  <si>
    <t>0052550000</t>
  </si>
  <si>
    <t>0052550012</t>
  </si>
  <si>
    <t>0052550013</t>
  </si>
  <si>
    <t>0052550014</t>
  </si>
  <si>
    <t>0052550015</t>
  </si>
  <si>
    <t>0052550016</t>
  </si>
  <si>
    <t>0052554500</t>
  </si>
  <si>
    <t>0052556000</t>
  </si>
  <si>
    <t>0052556500</t>
  </si>
  <si>
    <t>0052562000</t>
  </si>
  <si>
    <t>0052562011</t>
  </si>
  <si>
    <t>0052562013</t>
  </si>
  <si>
    <t>0052562014</t>
  </si>
  <si>
    <t>0052562015</t>
  </si>
  <si>
    <t>0052562016</t>
  </si>
  <si>
    <t>0052562500</t>
  </si>
  <si>
    <t>0052562511</t>
  </si>
  <si>
    <t>0052562513</t>
  </si>
  <si>
    <t>0052562514</t>
  </si>
  <si>
    <t>0052562515</t>
  </si>
  <si>
    <t>0052562516</t>
  </si>
  <si>
    <t>0052564000</t>
  </si>
  <si>
    <t>0052566000</t>
  </si>
  <si>
    <t>0052566015</t>
  </si>
  <si>
    <t>0052566016</t>
  </si>
  <si>
    <t>0052566700</t>
  </si>
  <si>
    <t>0052567000</t>
  </si>
  <si>
    <t>0052568000</t>
  </si>
  <si>
    <t>0052571000</t>
  </si>
  <si>
    <t>0052571011</t>
  </si>
  <si>
    <t>0052571013</t>
  </si>
  <si>
    <t>0052571014</t>
  </si>
  <si>
    <t>0052571015</t>
  </si>
  <si>
    <t>0052571016</t>
  </si>
  <si>
    <t>0052571100</t>
  </si>
  <si>
    <t>0052571500</t>
  </si>
  <si>
    <t>0052572000</t>
  </si>
  <si>
    <t>0052574000</t>
  </si>
  <si>
    <t>0052574011</t>
  </si>
  <si>
    <t>0052574013</t>
  </si>
  <si>
    <t>0052574014</t>
  </si>
  <si>
    <t>0052574015</t>
  </si>
  <si>
    <t>0052574016</t>
  </si>
  <si>
    <t>0052574100</t>
  </si>
  <si>
    <t>0052574111</t>
  </si>
  <si>
    <t>0052574113</t>
  </si>
  <si>
    <t>0052574114</t>
  </si>
  <si>
    <t>0052574115</t>
  </si>
  <si>
    <t>0052574116</t>
  </si>
  <si>
    <t>0052574200</t>
  </si>
  <si>
    <t>0052574300</t>
  </si>
  <si>
    <t>0052574314</t>
  </si>
  <si>
    <t>0052574315</t>
  </si>
  <si>
    <t>0052574316</t>
  </si>
  <si>
    <t>0052577500</t>
  </si>
  <si>
    <t>0052578000</t>
  </si>
  <si>
    <t>0052578011</t>
  </si>
  <si>
    <t>0052578013</t>
  </si>
  <si>
    <t>0052578014</t>
  </si>
  <si>
    <t>0052578015</t>
  </si>
  <si>
    <t>0052578016</t>
  </si>
  <si>
    <t>0052579000</t>
  </si>
  <si>
    <t>0052582000</t>
  </si>
  <si>
    <t>0052582011</t>
  </si>
  <si>
    <t>0052582012</t>
  </si>
  <si>
    <t>0052582013</t>
  </si>
  <si>
    <t>0052582014</t>
  </si>
  <si>
    <t>0052582015</t>
  </si>
  <si>
    <t>0052582016</t>
  </si>
  <si>
    <t>0052583000</t>
  </si>
  <si>
    <t>0052583011</t>
  </si>
  <si>
    <t>0052583013</t>
  </si>
  <si>
    <t>0052583014</t>
  </si>
  <si>
    <t>0052583016</t>
  </si>
  <si>
    <t>0052585000</t>
  </si>
  <si>
    <t>0052585100</t>
  </si>
  <si>
    <t>0052586000</t>
  </si>
  <si>
    <t>0052599800</t>
  </si>
  <si>
    <t>0052801000</t>
  </si>
  <si>
    <t>0052801100</t>
  </si>
  <si>
    <t>0052801200</t>
  </si>
  <si>
    <t>0052801500</t>
  </si>
  <si>
    <t>0052805000</t>
  </si>
  <si>
    <t>0052805100</t>
  </si>
  <si>
    <t>0053110000</t>
  </si>
  <si>
    <t>0053110011</t>
  </si>
  <si>
    <t>0053110013</t>
  </si>
  <si>
    <t>0053110014</t>
  </si>
  <si>
    <t>0053110015</t>
  </si>
  <si>
    <t>0053110016</t>
  </si>
  <si>
    <t>0053150000</t>
  </si>
  <si>
    <t>0053150011</t>
  </si>
  <si>
    <t>0053150013</t>
  </si>
  <si>
    <t>0053150014</t>
  </si>
  <si>
    <t>0053150015</t>
  </si>
  <si>
    <t>0053150016</t>
  </si>
  <si>
    <t>0053151000</t>
  </si>
  <si>
    <t>0053151011</t>
  </si>
  <si>
    <t>0053151013</t>
  </si>
  <si>
    <t>0053151014</t>
  </si>
  <si>
    <t>0053151015</t>
  </si>
  <si>
    <t>0053151016</t>
  </si>
  <si>
    <t>0053152000</t>
  </si>
  <si>
    <t>0053153000</t>
  </si>
  <si>
    <t>0053154000</t>
  </si>
  <si>
    <t>0053155000</t>
  </si>
  <si>
    <t>0053156000</t>
  </si>
  <si>
    <t>0053157000</t>
  </si>
  <si>
    <t>0053158000</t>
  </si>
  <si>
    <t>0053159000</t>
  </si>
  <si>
    <t>0053159100</t>
  </si>
  <si>
    <t>0053185000</t>
  </si>
  <si>
    <t>0053401000</t>
  </si>
  <si>
    <t>0053401100</t>
  </si>
  <si>
    <t>0053401200</t>
  </si>
  <si>
    <t>0053401300</t>
  </si>
  <si>
    <t>0053401400</t>
  </si>
  <si>
    <t>0053401500</t>
  </si>
  <si>
    <t>0053401700</t>
  </si>
  <si>
    <t>0053401900</t>
  </si>
  <si>
    <t>0053402100</t>
  </si>
  <si>
    <t>0053402200</t>
  </si>
  <si>
    <t>0053402300</t>
  </si>
  <si>
    <t>0053402400</t>
  </si>
  <si>
    <t>0053402500</t>
  </si>
  <si>
    <t>0053402600</t>
  </si>
  <si>
    <t>0053409999</t>
  </si>
  <si>
    <t>0053481000</t>
  </si>
  <si>
    <t>0053481100</t>
  </si>
  <si>
    <t>0053481200</t>
  </si>
  <si>
    <t>0053481300</t>
  </si>
  <si>
    <t>0053481400</t>
  </si>
  <si>
    <t>0053481500</t>
  </si>
  <si>
    <t>0053481700</t>
  </si>
  <si>
    <t>0053481900</t>
  </si>
  <si>
    <t>0053482100</t>
  </si>
  <si>
    <t>0053482200</t>
  </si>
  <si>
    <t>0053482300</t>
  </si>
  <si>
    <t>0053482400</t>
  </si>
  <si>
    <t>0053482500</t>
  </si>
  <si>
    <t>0053482600</t>
  </si>
  <si>
    <t>0054110000</t>
  </si>
  <si>
    <t>0054110011</t>
  </si>
  <si>
    <t>0054110012</t>
  </si>
  <si>
    <t>0054110013</t>
  </si>
  <si>
    <t>0054110014</t>
  </si>
  <si>
    <t>0054110015</t>
  </si>
  <si>
    <t>0054110016</t>
  </si>
  <si>
    <t>0054115000</t>
  </si>
  <si>
    <t>0054140000</t>
  </si>
  <si>
    <t>0054140011</t>
  </si>
  <si>
    <t>0054140012</t>
  </si>
  <si>
    <t>0054140013</t>
  </si>
  <si>
    <t>0054140014</t>
  </si>
  <si>
    <t>0054140015</t>
  </si>
  <si>
    <t>0054140016</t>
  </si>
  <si>
    <t>0054145000</t>
  </si>
  <si>
    <t>0055000000</t>
  </si>
  <si>
    <t>0055000011</t>
  </si>
  <si>
    <t>0055000012</t>
  </si>
  <si>
    <t>0055000013</t>
  </si>
  <si>
    <t>0055000014</t>
  </si>
  <si>
    <t>0055000015</t>
  </si>
  <si>
    <t>0055000016</t>
  </si>
  <si>
    <t>0055000021</t>
  </si>
  <si>
    <t>0055000022</t>
  </si>
  <si>
    <t>0055000023</t>
  </si>
  <si>
    <t>0055000024</t>
  </si>
  <si>
    <t>0055000026</t>
  </si>
  <si>
    <t>0055000100</t>
  </si>
  <si>
    <t>0055010100</t>
  </si>
  <si>
    <t>0055010200</t>
  </si>
  <si>
    <t>0055010300</t>
  </si>
  <si>
    <t>0055010400</t>
  </si>
  <si>
    <t>0055010500</t>
  </si>
  <si>
    <t>0055020000</t>
  </si>
  <si>
    <t>0055110000</t>
  </si>
  <si>
    <t>0055115000</t>
  </si>
  <si>
    <t>0055710000</t>
  </si>
  <si>
    <t>0055711000</t>
  </si>
  <si>
    <t>0055715000</t>
  </si>
  <si>
    <t>0055720000</t>
  </si>
  <si>
    <t>0055720100</t>
  </si>
  <si>
    <t>0055725000</t>
  </si>
  <si>
    <t>0055730000</t>
  </si>
  <si>
    <t>0055735000</t>
  </si>
  <si>
    <t>0055740000</t>
  </si>
  <si>
    <t>0055745000</t>
  </si>
  <si>
    <t>0056610000</t>
  </si>
  <si>
    <t>0056611000</t>
  </si>
  <si>
    <t>0056620000</t>
  </si>
  <si>
    <t>0056630000</t>
  </si>
  <si>
    <t>0056670000</t>
  </si>
  <si>
    <t>0057010000</t>
  </si>
  <si>
    <t>0057010015</t>
  </si>
  <si>
    <t>0057010016</t>
  </si>
  <si>
    <t>0057010100</t>
  </si>
  <si>
    <t>0057010199</t>
  </si>
  <si>
    <t>0058001000</t>
  </si>
  <si>
    <t>0058001500</t>
  </si>
  <si>
    <t>0058002000</t>
  </si>
  <si>
    <t>0059011000</t>
  </si>
  <si>
    <t>0059011500</t>
  </si>
  <si>
    <t>0059021000</t>
  </si>
  <si>
    <t>0059022000</t>
  </si>
  <si>
    <t>0062002100</t>
  </si>
  <si>
    <t>0062002200</t>
  </si>
  <si>
    <t>0062002300</t>
  </si>
  <si>
    <t>0062002400</t>
  </si>
  <si>
    <t>0062002600</t>
  </si>
  <si>
    <t>0062502100</t>
  </si>
  <si>
    <t>0062502110</t>
  </si>
  <si>
    <t>0062502115</t>
  </si>
  <si>
    <t>0062502120</t>
  </si>
  <si>
    <t>0062502125</t>
  </si>
  <si>
    <t>0062502130</t>
  </si>
  <si>
    <t>0062502135</t>
  </si>
  <si>
    <t>0062502200</t>
  </si>
  <si>
    <t>0062502210</t>
  </si>
  <si>
    <t>0062502215</t>
  </si>
  <si>
    <t>0062502300</t>
  </si>
  <si>
    <t>0062502310</t>
  </si>
  <si>
    <t>0062502315</t>
  </si>
  <si>
    <t>0062502400</t>
  </si>
  <si>
    <t>0062502410</t>
  </si>
  <si>
    <t>0062502415</t>
  </si>
  <si>
    <t>0062502420</t>
  </si>
  <si>
    <t>0062502425</t>
  </si>
  <si>
    <t>0062502430</t>
  </si>
  <si>
    <t>0062502435</t>
  </si>
  <si>
    <t>0062502440</t>
  </si>
  <si>
    <t>0062502600</t>
  </si>
  <si>
    <t>0062510000</t>
  </si>
  <si>
    <t>0062512100</t>
  </si>
  <si>
    <t>0062512200</t>
  </si>
  <si>
    <t>0062512300</t>
  </si>
  <si>
    <t>0062512400</t>
  </si>
  <si>
    <t>0062520700</t>
  </si>
  <si>
    <t>0062520800</t>
  </si>
  <si>
    <t>0062520821</t>
  </si>
  <si>
    <t>0062520824</t>
  </si>
  <si>
    <t>0063110021</t>
  </si>
  <si>
    <t>0063110022</t>
  </si>
  <si>
    <t>0063110023</t>
  </si>
  <si>
    <t>0063110024</t>
  </si>
  <si>
    <t>0063110026</t>
  </si>
  <si>
    <t>0063150021</t>
  </si>
  <si>
    <t>0063150022</t>
  </si>
  <si>
    <t>0063150023</t>
  </si>
  <si>
    <t>0063150024</t>
  </si>
  <si>
    <t>0063150026</t>
  </si>
  <si>
    <t>0068011000</t>
  </si>
  <si>
    <t>0068011200</t>
  </si>
  <si>
    <t>0068011500</t>
  </si>
  <si>
    <t>0068012000</t>
  </si>
  <si>
    <t>0068012500</t>
  </si>
  <si>
    <t>0068013000</t>
  </si>
  <si>
    <t>0068013500</t>
  </si>
  <si>
    <t>0068251000</t>
  </si>
  <si>
    <t>0068252000</t>
  </si>
  <si>
    <t>0068253000</t>
  </si>
  <si>
    <t>0068254000</t>
  </si>
  <si>
    <t>0068255000</t>
  </si>
  <si>
    <t>0068256000</t>
  </si>
  <si>
    <t>0068257000</t>
  </si>
  <si>
    <t>0068258000</t>
  </si>
  <si>
    <t>0068259000</t>
  </si>
  <si>
    <t>0068311000</t>
  </si>
  <si>
    <t>0068312000</t>
  </si>
  <si>
    <t>0068312500</t>
  </si>
  <si>
    <t>0068520000</t>
  </si>
  <si>
    <t>0068520100</t>
  </si>
  <si>
    <t>0068529000</t>
  </si>
  <si>
    <t>0068532000</t>
  </si>
  <si>
    <t>0068532100</t>
  </si>
  <si>
    <t>0068533000</t>
  </si>
  <si>
    <t>0068533100</t>
  </si>
  <si>
    <t>0068535000</t>
  </si>
  <si>
    <t>0068535100</t>
  </si>
  <si>
    <t>0068536000</t>
  </si>
  <si>
    <t>0068536100</t>
  </si>
  <si>
    <t>0068541000</t>
  </si>
  <si>
    <t>0068542000</t>
  </si>
  <si>
    <t>0068543000</t>
  </si>
  <si>
    <t>0068544000</t>
  </si>
  <si>
    <t>0068545000</t>
  </si>
  <si>
    <t>0069011000</t>
  </si>
  <si>
    <t>0069011400</t>
  </si>
  <si>
    <t>0069012000</t>
  </si>
  <si>
    <t>0069012400</t>
  </si>
  <si>
    <t>0069012500</t>
  </si>
  <si>
    <t>0069013100</t>
  </si>
  <si>
    <t>0069013200</t>
  </si>
  <si>
    <t>0069021000</t>
  </si>
  <si>
    <t>0069021400</t>
  </si>
  <si>
    <t>0069022000</t>
  </si>
  <si>
    <t>0069022400</t>
  </si>
  <si>
    <t>0069022500</t>
  </si>
  <si>
    <t>0069023100</t>
  </si>
  <si>
    <t>0069023200</t>
  </si>
  <si>
    <t>0069031000</t>
  </si>
  <si>
    <t>0069031500</t>
  </si>
  <si>
    <t>0069041000</t>
  </si>
  <si>
    <t>0069041500</t>
  </si>
  <si>
    <t>0069061000</t>
  </si>
  <si>
    <t>0069061400</t>
  </si>
  <si>
    <t>0069062000</t>
  </si>
  <si>
    <t>0069062400</t>
  </si>
  <si>
    <t>0069063000</t>
  </si>
  <si>
    <t>0069065000</t>
  </si>
  <si>
    <t>0069071000</t>
  </si>
  <si>
    <t>0069071400</t>
  </si>
  <si>
    <t>0069072000</t>
  </si>
  <si>
    <t>0069072400</t>
  </si>
  <si>
    <t>0069073000</t>
  </si>
  <si>
    <t>0069073500</t>
  </si>
  <si>
    <t>0069522000</t>
  </si>
  <si>
    <t>0069523000</t>
  </si>
  <si>
    <t>0069524000</t>
  </si>
  <si>
    <t>0069525000</t>
  </si>
  <si>
    <t>0069550000</t>
  </si>
  <si>
    <t>0070510000</t>
  </si>
  <si>
    <t>0071010000</t>
  </si>
  <si>
    <t>0071015000</t>
  </si>
  <si>
    <t>0071030000</t>
  </si>
  <si>
    <t>0071511000</t>
  </si>
  <si>
    <t>0071511500</t>
  </si>
  <si>
    <t>0071511510</t>
  </si>
  <si>
    <t>0071521000</t>
  </si>
  <si>
    <t>0071521500</t>
  </si>
  <si>
    <t>0071611000</t>
  </si>
  <si>
    <t>0071611100</t>
  </si>
  <si>
    <t>0071611510</t>
  </si>
  <si>
    <t>0071611520</t>
  </si>
  <si>
    <t>0071611530</t>
  </si>
  <si>
    <t>0071611540</t>
  </si>
  <si>
    <t>0071621000</t>
  </si>
  <si>
    <t>0071630000</t>
  </si>
  <si>
    <t>0071711000</t>
  </si>
  <si>
    <t>0071712000</t>
  </si>
  <si>
    <t>0071713000</t>
  </si>
  <si>
    <t>0071810000</t>
  </si>
  <si>
    <t>0071820000</t>
  </si>
  <si>
    <t>0072801000</t>
  </si>
  <si>
    <t>0072801100</t>
  </si>
  <si>
    <t>0072801200</t>
  </si>
  <si>
    <t>0072801300</t>
  </si>
  <si>
    <t>0072802000</t>
  </si>
  <si>
    <t>0072802100</t>
  </si>
  <si>
    <t>0072803000</t>
  </si>
  <si>
    <t>0072803100</t>
  </si>
  <si>
    <t>0075510000</t>
  </si>
  <si>
    <t>0075520000</t>
  </si>
  <si>
    <t>0075810000</t>
  </si>
  <si>
    <t>0075811000</t>
  </si>
  <si>
    <t>0075815000</t>
  </si>
  <si>
    <t>0075820000</t>
  </si>
  <si>
    <t>0075840000</t>
  </si>
  <si>
    <t>0075841000</t>
  </si>
  <si>
    <t>0081010000</t>
  </si>
  <si>
    <t>0081015000</t>
  </si>
  <si>
    <t>0081016000</t>
  </si>
  <si>
    <t>0081017000</t>
  </si>
  <si>
    <t>0081017100</t>
  </si>
  <si>
    <t>0081017200</t>
  </si>
  <si>
    <t>0081020000</t>
  </si>
  <si>
    <t>0081030000</t>
  </si>
  <si>
    <t>0081035000</t>
  </si>
  <si>
    <t>0081050000</t>
  </si>
  <si>
    <t>0081050100</t>
  </si>
  <si>
    <t>0081050300</t>
  </si>
  <si>
    <t>0081050305</t>
  </si>
  <si>
    <t>0081050400</t>
  </si>
  <si>
    <t>0081050405</t>
  </si>
  <si>
    <t>0081055200</t>
  </si>
  <si>
    <t>0081310000</t>
  </si>
  <si>
    <t>0081315000</t>
  </si>
  <si>
    <t>0081315100</t>
  </si>
  <si>
    <t>0081500000</t>
  </si>
  <si>
    <t>0081810000</t>
  </si>
  <si>
    <t>0081815000</t>
  </si>
  <si>
    <t>0081815100</t>
  </si>
  <si>
    <t>0081816000</t>
  </si>
  <si>
    <t>0081817000</t>
  </si>
  <si>
    <t>0082010000</t>
  </si>
  <si>
    <t>0082015000</t>
  </si>
  <si>
    <t>0082016000</t>
  </si>
  <si>
    <t>0082020000</t>
  </si>
  <si>
    <t>0085000000</t>
  </si>
  <si>
    <t>0086021000</t>
  </si>
  <si>
    <t>0086021500</t>
  </si>
  <si>
    <t>0086031000</t>
  </si>
  <si>
    <t>0086031500</t>
  </si>
  <si>
    <t>0088101000</t>
  </si>
  <si>
    <t>0088106000</t>
  </si>
  <si>
    <t>0088107000</t>
  </si>
  <si>
    <t>0088108020</t>
  </si>
  <si>
    <t>0088121000</t>
  </si>
  <si>
    <t>0088121800</t>
  </si>
  <si>
    <t>0088186800</t>
  </si>
  <si>
    <t>0088186801</t>
  </si>
  <si>
    <t>0088252100</t>
  </si>
  <si>
    <t>0088252170</t>
  </si>
  <si>
    <t>0088252200</t>
  </si>
  <si>
    <t>0088252270</t>
  </si>
  <si>
    <t>0088257000</t>
  </si>
  <si>
    <t>0088257100</t>
  </si>
  <si>
    <t>0088271100</t>
  </si>
  <si>
    <t>0088271170</t>
  </si>
  <si>
    <t>0088271200</t>
  </si>
  <si>
    <t>0088271270</t>
  </si>
  <si>
    <t>0088900000</t>
  </si>
  <si>
    <t>C</t>
  </si>
  <si>
    <t>D</t>
  </si>
  <si>
    <t>K</t>
  </si>
  <si>
    <t>G/L Acct Long Text</t>
  </si>
  <si>
    <t>UPIS - Organization</t>
  </si>
  <si>
    <t>UPIS - Franchises</t>
  </si>
  <si>
    <t>UPIS - Land &amp; Land Rights - Source of Supply</t>
  </si>
  <si>
    <t>UPIS - Land &amp; Land Rights - Pumping</t>
  </si>
  <si>
    <t>UPIS - Land &amp; Land Rights - Water Treatment</t>
  </si>
  <si>
    <t>UPIS - Land &amp; Land Rights - Transmission &amp; Distrib</t>
  </si>
  <si>
    <t>UPIS - Land &amp; Land Rights - Admin &amp; General</t>
  </si>
  <si>
    <t>UPIS - Struct &amp; Imp - Source of Supply</t>
  </si>
  <si>
    <t>UPIS - Struct &amp; Imp - Pumping</t>
  </si>
  <si>
    <t>UPIS - Struct &amp; Imp - Water Treatment</t>
  </si>
  <si>
    <t>UPIS - Struct &amp; Imp - Transmission &amp; Distribution</t>
  </si>
  <si>
    <t>UPIS - Struct &amp; Imp - Admin &amp; General</t>
  </si>
  <si>
    <t>UPIS - Collect &amp; Impounding</t>
  </si>
  <si>
    <t>UPIS - Lake &amp; River &amp; Other</t>
  </si>
  <si>
    <t>UPIS - Wells &amp; Springs</t>
  </si>
  <si>
    <t>UPIS - Infiltration Galleries</t>
  </si>
  <si>
    <t>UPIS - Supply Mains</t>
  </si>
  <si>
    <t>UPIS - Power Generation Equipment</t>
  </si>
  <si>
    <t>UPIS - Boiler Plant Equipment</t>
  </si>
  <si>
    <t>UPIS - Pumping Equipment - Steam</t>
  </si>
  <si>
    <t>UPIS - Pumping Equipment - Electric</t>
  </si>
  <si>
    <t>UPIS - Pumping Equipment - Diesel</t>
  </si>
  <si>
    <t>UPIS - Pumping Equipment - Hydraulic</t>
  </si>
  <si>
    <t>UPIS - Pumping Equipment - Other</t>
  </si>
  <si>
    <t>UPIS - Pumping Equipment - Source of Supply</t>
  </si>
  <si>
    <t>UPIS - Pumping Equipment - Water Treatment</t>
  </si>
  <si>
    <t>UPIS - Pumping Equipment - Transmission &amp; Distrib</t>
  </si>
  <si>
    <t>UPIS - Water Treatment Equipment</t>
  </si>
  <si>
    <t>UPIS - Distribution Reservoirs &amp; Standpipes</t>
  </si>
  <si>
    <t>UPIS - Transmission &amp; Distribution Mains</t>
  </si>
  <si>
    <t>UPIS - Fire Mains</t>
  </si>
  <si>
    <t>UPIS - Services</t>
  </si>
  <si>
    <t>UPIS - Meters</t>
  </si>
  <si>
    <t>UPIS - Meter Installations</t>
  </si>
  <si>
    <t>UPIS - Hydrants</t>
  </si>
  <si>
    <t>UPIS - Backflow Prevention</t>
  </si>
  <si>
    <t>UPIS - Other P/E - Intangible</t>
  </si>
  <si>
    <t>UPIS - Other P/E - Source of Supply</t>
  </si>
  <si>
    <t>UPIS - Other P/E - Water Treatment</t>
  </si>
  <si>
    <t>UPIS - Other P/E - Transmission &amp; Distribution</t>
  </si>
  <si>
    <t>UPIS - Office Furniture &amp; Equipment</t>
  </si>
  <si>
    <t>UPIS - Transportation Equipment</t>
  </si>
  <si>
    <t>UPIS - Stores Equipment</t>
  </si>
  <si>
    <t>UPIS - Tools-Shop-Garage Equipment</t>
  </si>
  <si>
    <t>UPIS - Laboratory Equipment</t>
  </si>
  <si>
    <t>UPIS - Power Operated Equipment</t>
  </si>
  <si>
    <t>UPIS - Communication Equipment</t>
  </si>
  <si>
    <t>UPIS - Misc Equipment</t>
  </si>
  <si>
    <t>UPIS - Other Tangible Property</t>
  </si>
  <si>
    <t>UPIS - WW Organization</t>
  </si>
  <si>
    <t>UPIS - WW Franchises</t>
  </si>
  <si>
    <t>UPIS - WW Other Intangible</t>
  </si>
  <si>
    <t>UPIS - WW Land &amp; Land Rights - Coll</t>
  </si>
  <si>
    <t>UPIS - WW Land &amp; Land Rights - SPP</t>
  </si>
  <si>
    <t>UPIS - WW Land &amp; Land Rights - TDP</t>
  </si>
  <si>
    <t>UPIS - WW Land &amp; Land Rights - General</t>
  </si>
  <si>
    <t>UPIS - WW Struct &amp; Imp - Coll</t>
  </si>
  <si>
    <t>UPIS - WW Struct &amp; Imp - SPP</t>
  </si>
  <si>
    <t>UPIS - WW Struct &amp; Imp - TDP</t>
  </si>
  <si>
    <t>UPIS - WW Struct &amp; Imp - General</t>
  </si>
  <si>
    <t>UPIS - WW Pwr Gen Equipment -  Col</t>
  </si>
  <si>
    <t>UPIS - WW Pwr Gen Equipment -  SPP</t>
  </si>
  <si>
    <t>UPIS - WW Pwr Gen Equipment -  TDP</t>
  </si>
  <si>
    <t>UPIS - WW Pwr Gen Equipment -  RWT</t>
  </si>
  <si>
    <t>UPIS - WW Pwr Gen Equipment -  RWD</t>
  </si>
  <si>
    <t>UPIS - WW Collection Sewers</t>
  </si>
  <si>
    <t>UPIS - WW Collecting Mains</t>
  </si>
  <si>
    <t>UPIS - WW Special Coll Struct</t>
  </si>
  <si>
    <t>UPIS - WW Services Sewer</t>
  </si>
  <si>
    <t>UPIS - WW Flow Measuring Device</t>
  </si>
  <si>
    <t>UPIS - WW Flow Measuring Install</t>
  </si>
  <si>
    <t>UPIS - WW Receiving Wells</t>
  </si>
  <si>
    <t>UPIS - WW Pump Equipment - Elect</t>
  </si>
  <si>
    <t>UPIS - WW Pump Equipment - Oth Pwr</t>
  </si>
  <si>
    <t>UPIS - WW - Transmission &amp; D244Distribution Equip</t>
  </si>
  <si>
    <t>UPIS - WW Plant Sewers</t>
  </si>
  <si>
    <t>UPIS - WW Outfall Sewer Line</t>
  </si>
  <si>
    <t>UPIS - WW Oth Plant &amp; Misc Equipment</t>
  </si>
  <si>
    <t>UPIS - WW Oth Plant &amp; Misc Equipment - Coll</t>
  </si>
  <si>
    <t>UPIS - WW Oth Plant &amp; Misc Equipment - SPP</t>
  </si>
  <si>
    <t>UPIS - WW Oth Plant &amp; Misc Equipment - TDP</t>
  </si>
  <si>
    <t>UPIS - WW Office Furniture</t>
  </si>
  <si>
    <t>UPIS - WW Transportation Equipment</t>
  </si>
  <si>
    <t>UPIS - WW Stores Equipment</t>
  </si>
  <si>
    <t>UPIS - WW Tool Shop &amp; Garage</t>
  </si>
  <si>
    <t>UPIS - WW Laboratory Equipment</t>
  </si>
  <si>
    <t>UPIS - WW Power Operated Equipment</t>
  </si>
  <si>
    <t>UPIS - WW Communication Equipment</t>
  </si>
  <si>
    <t>UPIS - WW Misc Equipment</t>
  </si>
  <si>
    <t>UPIS - WW Other Tangible Pl</t>
  </si>
  <si>
    <t>Reg Asset-AFUDC-Debt</t>
  </si>
  <si>
    <t>Leased - Organization</t>
  </si>
  <si>
    <t>Leased - Land &amp; Land Rights - Source of Supply</t>
  </si>
  <si>
    <t>Leased - Land &amp; Land Rights - Pumping</t>
  </si>
  <si>
    <t>Leased - Land &amp; Land Rights - Water Treatment</t>
  </si>
  <si>
    <t>Leased - Land &amp; Land Rights - Transmission &amp; Distr</t>
  </si>
  <si>
    <t>Leased - Land &amp; Land Rights - Admin &amp; General</t>
  </si>
  <si>
    <t>Leased - Struct &amp; Imp - Source of Supply</t>
  </si>
  <si>
    <t>Leased - Struct &amp; Imp - Pumping</t>
  </si>
  <si>
    <t>Leased - Struct &amp; Imp - Water Treatment</t>
  </si>
  <si>
    <t>Leased - Struct &amp; Imp - Transmission &amp; Distrib</t>
  </si>
  <si>
    <t>Leased - Struct &amp; Imp - Admin &amp; General</t>
  </si>
  <si>
    <t>Leased - Collect &amp; Impounding</t>
  </si>
  <si>
    <t>Leased - Lake - River &amp; Other</t>
  </si>
  <si>
    <t>Leased - Supply Mains</t>
  </si>
  <si>
    <t>Leased - Power Generation Equipment</t>
  </si>
  <si>
    <t>Leased - Pump Equipment Electric</t>
  </si>
  <si>
    <t>Leased - WT Equipment</t>
  </si>
  <si>
    <t>Leased - Distribution Reservoirs &amp; Standpipes</t>
  </si>
  <si>
    <t>Leased - TD Mains</t>
  </si>
  <si>
    <t>Leased - Services</t>
  </si>
  <si>
    <t>Leased - Meters</t>
  </si>
  <si>
    <t>Leased - Meter Installations</t>
  </si>
  <si>
    <t>Leased - Hydrants</t>
  </si>
  <si>
    <t>Leased - Other P/E - Transmission &amp; Distribution</t>
  </si>
  <si>
    <t>Leased - Office Furniture &amp; Equipment</t>
  </si>
  <si>
    <t>Leased - Transportation Equipment</t>
  </si>
  <si>
    <t>Leased - Stores Equipment</t>
  </si>
  <si>
    <t>Leased - Tools-Shop-Garage Equipment</t>
  </si>
  <si>
    <t>Leased - Laboratory Equipment</t>
  </si>
  <si>
    <t>Leased - Power Operated Equipment</t>
  </si>
  <si>
    <t>Leased - Comm Equipment Not Class</t>
  </si>
  <si>
    <t>Leased - Misc Equipment</t>
  </si>
  <si>
    <t>Property Held Future</t>
  </si>
  <si>
    <t>Utility Plant Purchased or Sold</t>
  </si>
  <si>
    <t>CCNC Organization</t>
  </si>
  <si>
    <t>CCNC Franchises</t>
  </si>
  <si>
    <t>CCNC Land &amp; Land Rights - Source of Supply</t>
  </si>
  <si>
    <t>CCNC Land &amp; Land Rights - Pumping</t>
  </si>
  <si>
    <t>CCNC Land &amp; Land Rights - Water Treatment</t>
  </si>
  <si>
    <t>CCNC Land &amp; Land Rights - Transmssn &amp; Distr</t>
  </si>
  <si>
    <t>CCNC Struct &amp; Imp - Source of Supply</t>
  </si>
  <si>
    <t>CCNC Struct &amp; Imp - Pumping</t>
  </si>
  <si>
    <t>CCNC Struct &amp; Imp - Water Treatment</t>
  </si>
  <si>
    <t>CCNC Struct &amp; Imp - Transmission &amp; Distribution</t>
  </si>
  <si>
    <t>CCNC Struct &amp; Imp - Admin &amp; General</t>
  </si>
  <si>
    <t>CCNC Collect &amp; Impounding</t>
  </si>
  <si>
    <t>CCNC Wells &amp; Springs</t>
  </si>
  <si>
    <t>CCNC Infiltration Galleries</t>
  </si>
  <si>
    <t>CCNC Supply Mains</t>
  </si>
  <si>
    <t>CCNC Power Generation Equipment</t>
  </si>
  <si>
    <t>CCNC Boiler Plant Equipment</t>
  </si>
  <si>
    <t>CCNC Pumping Equipment - Steam</t>
  </si>
  <si>
    <t>CCNC Pumping Equipment - Electric</t>
  </si>
  <si>
    <t>CCNC Pumping Equipment - Diesel</t>
  </si>
  <si>
    <t>CCNC Pumping Equipment - Hydraulic</t>
  </si>
  <si>
    <t>CCNC Pumping Equipment - Other</t>
  </si>
  <si>
    <t>CCNC Pumping Equipment - Source of Supply</t>
  </si>
  <si>
    <t>CCNC Pumping Equipment - Water Treatment</t>
  </si>
  <si>
    <t>CCNC Pumping Equipment - Transmssn &amp; Distr</t>
  </si>
  <si>
    <t>CCNC Fire Mains</t>
  </si>
  <si>
    <t>CCNC Services</t>
  </si>
  <si>
    <t>CCNC Meters</t>
  </si>
  <si>
    <t>CCNC Meter Installations</t>
  </si>
  <si>
    <t>CCNC Hydrants</t>
  </si>
  <si>
    <t>CCNC Backflow Prevention</t>
  </si>
  <si>
    <t>CCNC Other P/E - Source of Supply</t>
  </si>
  <si>
    <t>CCNC Other P/E - Water Treatment</t>
  </si>
  <si>
    <t>CCNC Other P/E - Transmission &amp; Distribution</t>
  </si>
  <si>
    <t>CCNC Office Furniture &amp; Equipment</t>
  </si>
  <si>
    <t>CCNC Transportation Equipment Not Classified</t>
  </si>
  <si>
    <t>CCNC Stores Equipment</t>
  </si>
  <si>
    <t>CCNC Tools-Shop-Garage Equipment</t>
  </si>
  <si>
    <t>CCNC Laboratory Equipment</t>
  </si>
  <si>
    <t>CCNC Power Operated Equipment</t>
  </si>
  <si>
    <t>CCNC Communication Equipment</t>
  </si>
  <si>
    <t>CCNC Misc Equipment</t>
  </si>
  <si>
    <t>CCNC Other Tangible Property</t>
  </si>
  <si>
    <t>CCNC WW Land &amp; Land Rights - Coll</t>
  </si>
  <si>
    <t>CCNC WW Land &amp; Land Rights - SPP</t>
  </si>
  <si>
    <t>CCNC WW Land &amp; Land Rights - TDP</t>
  </si>
  <si>
    <t>CCNC WW Land &amp; Land Rights - Gen</t>
  </si>
  <si>
    <t>CCNC WW Struct &amp; Imp - Coll</t>
  </si>
  <si>
    <t>CCNC WW Struct &amp; Imp - SPP</t>
  </si>
  <si>
    <t>CCNC WW Struct &amp; Imp - TDP</t>
  </si>
  <si>
    <t>CCNC WW Struct &amp; Imp - Gen</t>
  </si>
  <si>
    <t>CCNC WW Power Gen Equipment - Col</t>
  </si>
  <si>
    <t>CCNC WW Power Gen Equipment - SPP</t>
  </si>
  <si>
    <t>CCNC WW Power Gen Equipment - TDP</t>
  </si>
  <si>
    <t>CCNC WW Power Gen Equipment - RWT</t>
  </si>
  <si>
    <t>CCNC WW Power Gen Equipment - RWD</t>
  </si>
  <si>
    <t>CCNC WW Collection Sewers</t>
  </si>
  <si>
    <t>CCNC WW Collecting Mains</t>
  </si>
  <si>
    <t>CCNC WW Special Coll Stru</t>
  </si>
  <si>
    <t>CCNC WW Services Sewer</t>
  </si>
  <si>
    <t>CCNC WW Flow Measuring De</t>
  </si>
  <si>
    <t>CCNC WW Flow Measuring In</t>
  </si>
  <si>
    <t>CCNC WW Receiving Wells</t>
  </si>
  <si>
    <t>CCNC WW Pump Equipment - Elect</t>
  </si>
  <si>
    <t>CCNC WW Pump Equipment - Oth Pwr</t>
  </si>
  <si>
    <t>CCNC WW TD Equipment</t>
  </si>
  <si>
    <t>CCNC WW Plant Sewers</t>
  </si>
  <si>
    <t>CCNC WW Outfall Sewer Line</t>
  </si>
  <si>
    <t>CCNC WW Oth Plant &amp; Misc Equipment</t>
  </si>
  <si>
    <t>CCNC WW Oth Plant &amp; Misc Eq - Coll</t>
  </si>
  <si>
    <t>CCNC WW Oth Plant &amp; Misc Eq - SPP</t>
  </si>
  <si>
    <t>CCNC WW Oth Plant &amp; Misc Eq - TDP</t>
  </si>
  <si>
    <t>CCNC WW Office Furniture</t>
  </si>
  <si>
    <t>CCNC WW Transportation Equipment</t>
  </si>
  <si>
    <t>CCNC WW Stores Equipment</t>
  </si>
  <si>
    <t>CCNC WW Tool Shop &amp; Garage Equip</t>
  </si>
  <si>
    <t>CCNC WW Laboratory Equipment</t>
  </si>
  <si>
    <t>CCNC WW Power Operated Equip</t>
  </si>
  <si>
    <t>CCNC WW Communication Equip</t>
  </si>
  <si>
    <t>CCNC WW Misc Equipment</t>
  </si>
  <si>
    <t>CCNC WW Other Tangible Pl</t>
  </si>
  <si>
    <t>CWIP</t>
  </si>
  <si>
    <t>CWIP - Backhoe Clearing</t>
  </si>
  <si>
    <t>CWIP - Eng Clearing Dist Overhead</t>
  </si>
  <si>
    <t>CWIP - Eng Clearing Eng Overhead</t>
  </si>
  <si>
    <t>CWIP - Management Study - AMR</t>
  </si>
  <si>
    <t>CWIP - Management Study - Pipe</t>
  </si>
  <si>
    <t>CWIP - Interdistrict Clearing</t>
  </si>
  <si>
    <t>CWIP - Capital Settlement Clearing</t>
  </si>
  <si>
    <t>Accum Depreciation - Utility Plant in Service</t>
  </si>
  <si>
    <t>Accum Depreciation - Salvage/Scrap</t>
  </si>
  <si>
    <t>Accum Depreciation - Asset Sale</t>
  </si>
  <si>
    <t>Accum Depreciation - Original Cost</t>
  </si>
  <si>
    <t>Accum Depreciation - Reg Asset</t>
  </si>
  <si>
    <t>Accum Depreciation - Utility Plant Leased to Othrs</t>
  </si>
  <si>
    <t>Accum Depreciation - Property Held for Future Use</t>
  </si>
  <si>
    <t>Accum Amortization - Utility Plant in Service</t>
  </si>
  <si>
    <t>Accum Amortization - Utility Plant Capital Lease</t>
  </si>
  <si>
    <t>UPAA - Above The Line</t>
  </si>
  <si>
    <t>UPAA - Above The Line - Accum Amortization</t>
  </si>
  <si>
    <t>UPAA - Above The Line Depreciation</t>
  </si>
  <si>
    <t>UPAA - Above The Line Depr - Accum Depreciation</t>
  </si>
  <si>
    <t>UPAA - Neg Post 1/1/06</t>
  </si>
  <si>
    <t>UPAA - Neg Post 1/1/06 - Accum Amortization</t>
  </si>
  <si>
    <t>Non-Utility Property - Land</t>
  </si>
  <si>
    <t>Non-Utility Property - Buildings</t>
  </si>
  <si>
    <t>Non-Utility Property - Capital Lease 3yr</t>
  </si>
  <si>
    <t>Non-Utility Property - Capital Lease 4yr</t>
  </si>
  <si>
    <t>Non-Utility Property - Capital Lease 5yr</t>
  </si>
  <si>
    <t>Non-Utility Property - Capital Lease 7yr</t>
  </si>
  <si>
    <t>Non-Utility Property - Capital Lease 10yr</t>
  </si>
  <si>
    <t>Non-Utility Property - Capital Lease 15yr</t>
  </si>
  <si>
    <t>Non-Utility Property - Leasehold Improvement</t>
  </si>
  <si>
    <t>Non-Utility Property - Other 10 Yr</t>
  </si>
  <si>
    <t>Non-Utility Property - Other 5yr</t>
  </si>
  <si>
    <t>Non-Utility Property - Other 7yr</t>
  </si>
  <si>
    <t>Non-Utility Property - Other 4 Yr</t>
  </si>
  <si>
    <t>Non-Utility Property - Other Hardware</t>
  </si>
  <si>
    <t>Non-Utility Property - Other Software</t>
  </si>
  <si>
    <t>Non-Utility Property - Other Enterprise</t>
  </si>
  <si>
    <t>Non-Utility Property - CWIP</t>
  </si>
  <si>
    <t>Non-Utility Property - Accum Depreciation</t>
  </si>
  <si>
    <t>Non-Utility Property - Accum Amortization Cap Lse</t>
  </si>
  <si>
    <t>Goodwill</t>
  </si>
  <si>
    <t>Goodwill - Post 1/1/06 UPAA</t>
  </si>
  <si>
    <t>Investments - Outside</t>
  </si>
  <si>
    <t>Investment in Joint Venture</t>
  </si>
  <si>
    <t>Investment in Group Share Joint Venture</t>
  </si>
  <si>
    <t>Investment in Assoc Co's</t>
  </si>
  <si>
    <t>Investment in Assoc Co's Preferred Stock</t>
  </si>
  <si>
    <t>Intangibles - Finite Life</t>
  </si>
  <si>
    <t>Intangibles - Finite Life - Accum Amort</t>
  </si>
  <si>
    <t>PNC AWK - Main</t>
  </si>
  <si>
    <t>PNC AWK - Outbound Wire</t>
  </si>
  <si>
    <t>PNC AWK - Outbound ACH</t>
  </si>
  <si>
    <t>PNC AWK - Outbound Check</t>
  </si>
  <si>
    <t>PNC AWK - Inbound Wires &amp; ACH</t>
  </si>
  <si>
    <t>PNC AWK - Misc Debits/Credits</t>
  </si>
  <si>
    <t>PNC AWR - Main</t>
  </si>
  <si>
    <t>PNC AWR - Outbound Wire</t>
  </si>
  <si>
    <t>PNC AWR - Outbound ACH</t>
  </si>
  <si>
    <t>PNC AWR - Outbound Check</t>
  </si>
  <si>
    <t>PNC AWR - Inbound Wires &amp; ACH</t>
  </si>
  <si>
    <t>PNC AWR - NSF Return Payments</t>
  </si>
  <si>
    <t>PNC AWR - Misc Debits/Credits</t>
  </si>
  <si>
    <t>PNC Pennvest - Main</t>
  </si>
  <si>
    <t>PNC Pennvest - Outbound Wire</t>
  </si>
  <si>
    <t>PNC Pennvest - Outbound ACH</t>
  </si>
  <si>
    <t>PNC Pennvest - Inbound Wires &amp; ACH</t>
  </si>
  <si>
    <t>PNC Pennvest - Misc Debits/Credits</t>
  </si>
  <si>
    <t>PNC Investment IL - Main</t>
  </si>
  <si>
    <t>PNC Investment IL - Outbound Wire</t>
  </si>
  <si>
    <t>PNC Investment IL - Outbound ACH</t>
  </si>
  <si>
    <t>PNC Investment IL - Inbound Wires &amp; ACH</t>
  </si>
  <si>
    <t>PNC Investment IL - Misc Debits/Credits</t>
  </si>
  <si>
    <t>PNC VA - Main</t>
  </si>
  <si>
    <t>PNC VA - Main  - Outbound Wire</t>
  </si>
  <si>
    <t>PNC VA - Main  - Outbound ACH</t>
  </si>
  <si>
    <t>PNC VA - Main  - Misc Debits/Credits</t>
  </si>
  <si>
    <t>PNC WV Green Metering - Main</t>
  </si>
  <si>
    <t>PNC WV Green Metering - Outbound Wire</t>
  </si>
  <si>
    <t>PNC WV Green Metering - Outbound ACH</t>
  </si>
  <si>
    <t>PNC WV Green Metering - Inbound Wires &amp; ACH</t>
  </si>
  <si>
    <t>PNC WV Green Metering - Misc Debits/Credits</t>
  </si>
  <si>
    <t>PNC ETown Corporate - Main</t>
  </si>
  <si>
    <t>PNC ETown Corporate - Outbound Wire</t>
  </si>
  <si>
    <t>PNC ETown Corporate - Outbound ACH</t>
  </si>
  <si>
    <t>PNC ETown Corporate - Outbound Check</t>
  </si>
  <si>
    <t>PNC ETown Corporate - Inbound Wires &amp; ACH</t>
  </si>
  <si>
    <t>PNC ETown Corporate - NSF Return Payments</t>
  </si>
  <si>
    <t>PNC ETown Corporate - Misc Debits/Credits</t>
  </si>
  <si>
    <t>PNC ETown Properties - Main</t>
  </si>
  <si>
    <t>PNC ETown Properties - Outbound Wire</t>
  </si>
  <si>
    <t>PNC ETown Properties - Outbound ACH</t>
  </si>
  <si>
    <t>PNC ETown Properties - Outbound Check</t>
  </si>
  <si>
    <t>PNC ETown Properties - Inbound Wires &amp; ACH</t>
  </si>
  <si>
    <t>PNC ETown Properties - NSF Return Payments</t>
  </si>
  <si>
    <t>PNC ETown Properties - Misc Debits/Credits</t>
  </si>
  <si>
    <t>PNC Laurel Oak Properties - Main</t>
  </si>
  <si>
    <t>PNC Laurel Oak Properties - Outbound Wire</t>
  </si>
  <si>
    <t>PNC Laurel Oak Properties - Outbound ACH</t>
  </si>
  <si>
    <t>PNC Laurel Oak Properties - Outbound Check</t>
  </si>
  <si>
    <t>PNC Laurel Oak Properties - Inbound Wires &amp; ACH</t>
  </si>
  <si>
    <t>PNC Laurel Oak Properties - NSF Return Payments</t>
  </si>
  <si>
    <t>PNC Laurel Oak Properties - Misc Debits/Credits</t>
  </si>
  <si>
    <t>PNC ACUS Corp/Ashbrook - Main (Closed early 2012)</t>
  </si>
  <si>
    <t>PNC Thames Water Holding Inc - Main</t>
  </si>
  <si>
    <t>PNC Thames Water Holding Inc - Outbound Wire</t>
  </si>
  <si>
    <t>PNC Thames Water Holding Inc - Outbound ACH</t>
  </si>
  <si>
    <t>PNC Thames Water Holding Inc - Outbound Check</t>
  </si>
  <si>
    <t>PNC Thames Water Holding Inc - Inbound Wires &amp; ACH</t>
  </si>
  <si>
    <t>PNC Thames Water Holding Inc - NSF Return Payments</t>
  </si>
  <si>
    <t>PNC Thames Water Holding Inc - Misc Debits/Credits</t>
  </si>
  <si>
    <t>PNC TWNA - Main</t>
  </si>
  <si>
    <t>PNC TWNA - Outbound Wire</t>
  </si>
  <si>
    <t>PNC TWNA - Outbound ACH</t>
  </si>
  <si>
    <t>PNC TWNA - Outbound Check</t>
  </si>
  <si>
    <t>PNC TWNA - Inbound Wires &amp; ACH</t>
  </si>
  <si>
    <t>PNC TWNA - NSF Return Payments</t>
  </si>
  <si>
    <t>PNC TWNA - Misc Debits/Credits</t>
  </si>
  <si>
    <t>BNYM - Concentration</t>
  </si>
  <si>
    <t>BNYM-Conc - Outbound Wire</t>
  </si>
  <si>
    <t>BNYM-Conc - Inbound Wires &amp; ACH</t>
  </si>
  <si>
    <t>BNYM-Conc - ZBA Activity</t>
  </si>
  <si>
    <t>BNYM-Conc - Customer Direct Debit</t>
  </si>
  <si>
    <t>BNYM-Conc - Customer ACH</t>
  </si>
  <si>
    <t>BNYM-Conc - Customer Lockbox</t>
  </si>
  <si>
    <t>BNYM-Conc - Online Resources Credit Corp</t>
  </si>
  <si>
    <t>BNYM-Conc - First Tech</t>
  </si>
  <si>
    <t>BNYM-Conc - FiServ (fka CheckFree)</t>
  </si>
  <si>
    <t>BNYM-Conc - Penn Credit</t>
  </si>
  <si>
    <t>BNYM-Conc - E-Return - Mellon</t>
  </si>
  <si>
    <t>BNYM-Conc - E-Return - Online Resource Ck Conv</t>
  </si>
  <si>
    <t>BNYM-Conc - Customer Accts Receiv Ck Conversion</t>
  </si>
  <si>
    <t>BNYM-Conc - NSF Return Payments</t>
  </si>
  <si>
    <t>BNYM-Conc - Misc Debits/Credits</t>
  </si>
  <si>
    <t>BNYM Pass thru-IL</t>
  </si>
  <si>
    <t>BNYM Pass thru-IL - Outbound Wire</t>
  </si>
  <si>
    <t>BNYM Pass thru-IL - Inbound Wires &amp; ACH</t>
  </si>
  <si>
    <t>BNYM Pass thru-IL - Customer Direct Debit</t>
  </si>
  <si>
    <t>BNYM Pass thru-IL - Customer ACH</t>
  </si>
  <si>
    <t>BNYM Pass thru-IL - Customer Lockbox</t>
  </si>
  <si>
    <t>BNYM Pass thru-IL - Online Resources Credit Corp</t>
  </si>
  <si>
    <t>BNYM Pass thru-IL - First Tech</t>
  </si>
  <si>
    <t>BNYM Pass thru-IL - FiServ (fka CheckFree)</t>
  </si>
  <si>
    <t>BNYM Pass thru-IL - Penn Credit</t>
  </si>
  <si>
    <t>BNYM Pass thru-IL - E-Return - Mellon</t>
  </si>
  <si>
    <t>BNYM Pass thru-IL - E-Return - Online Rsrc Ck Conv</t>
  </si>
  <si>
    <t>BNYM Pass thru-IL - Customer A/R Ck Conversion</t>
  </si>
  <si>
    <t>BNYM Pass thru-IL - NSF Return Payments</t>
  </si>
  <si>
    <t>BNYM Pass thru-IL - Misc Debits/Credits</t>
  </si>
  <si>
    <t>BNYM Pass thru-NJ</t>
  </si>
  <si>
    <t>BNYM Pass thru-NJ - Outbound Wire</t>
  </si>
  <si>
    <t>BNYM Pass thru-NJ - Inbound Wires &amp; ACH</t>
  </si>
  <si>
    <t>BNYM Pass thru-NJ - Customer Direct Debit</t>
  </si>
  <si>
    <t>BNYM Pass thru-NJ - Customer ACH</t>
  </si>
  <si>
    <t>BNYM Pass thru-NJ - Customer Lockbox</t>
  </si>
  <si>
    <t>BNYM Pass thru-NJ - Online Resources Credit Corp</t>
  </si>
  <si>
    <t>BNYM Pass thru-NJ - FiServ (fka CheckFree)</t>
  </si>
  <si>
    <t>BNYM Pass thru-NJ - Penn Credit</t>
  </si>
  <si>
    <t>BNYM Pass thru-NJ - E-Return - Mellon</t>
  </si>
  <si>
    <t>BNYM Pass thru-NJ - E-Return - Online Rsrc Ck Conv</t>
  </si>
  <si>
    <t>BNYM Pass thru-NJ - Customer A/R Ck Conversion</t>
  </si>
  <si>
    <t>BNYM Pass thru-NJ - NSF Return Payments</t>
  </si>
  <si>
    <t>BNYM Pass thru-NJ - Misc Debits/Credits</t>
  </si>
  <si>
    <t>BNYM Pass thru-NE</t>
  </si>
  <si>
    <t>BNYM Pass thru-NE - Outbound Wire</t>
  </si>
  <si>
    <t>BNYM Pass thru-NE - Inbound Wires &amp; ACH</t>
  </si>
  <si>
    <t>BNYM Pass thru-NE - Customer Direct Debit</t>
  </si>
  <si>
    <t>BNYM Pass thru-NE - Customer ACH</t>
  </si>
  <si>
    <t>BNYM Pass thru-NE - Customer Lockbox</t>
  </si>
  <si>
    <t>BNYM Pass thru-NE - Online Resources Credit Corp</t>
  </si>
  <si>
    <t>BNYM Pass thru-NE - First Tech</t>
  </si>
  <si>
    <t>BNYM Pass thru-NE - FiServ (fka CheckFree)</t>
  </si>
  <si>
    <t>BNYM Pass thru-NE - Penn Credit</t>
  </si>
  <si>
    <t>BNYM Pass thru-NE - E-Return - Mellon</t>
  </si>
  <si>
    <t>BNYM Pass thru-NE - E-Return - Online Rsrc Ck Conv</t>
  </si>
  <si>
    <t>BNYM Pass thru-NE - Customer A/R Ck Conversion</t>
  </si>
  <si>
    <t>BNYM Pass thru-NE - NSF Return Payments</t>
  </si>
  <si>
    <t>BNYM Pass thru-NE - Misc Debits/Credits</t>
  </si>
  <si>
    <t>BNYM Pass thru-CA</t>
  </si>
  <si>
    <t>BNYM Pass thru-CA - Outbound Wire</t>
  </si>
  <si>
    <t>BNYM Pass thru-CA - Inbound Wires &amp; ACH</t>
  </si>
  <si>
    <t>BNYM Pass thru-CA - Customer Direct Debit</t>
  </si>
  <si>
    <t>BNYM Pass thru-CA - Customer ACH</t>
  </si>
  <si>
    <t>BNYM Pass thru-CA - Customer Lockbox</t>
  </si>
  <si>
    <t>BNYM Pass thru-CA - Online Resources Credit Corp</t>
  </si>
  <si>
    <t>BNYM Pass thru-CA - FiServ (fka CheckFree)</t>
  </si>
  <si>
    <t>BNYM Pass thru-CA - Penn Credit</t>
  </si>
  <si>
    <t>BNYM Pass thru-CA - E-Return - Mellon</t>
  </si>
  <si>
    <t>BNYM Pass thru-CA - E-Return - Online Rsrc Ck Conv</t>
  </si>
  <si>
    <t>BNYM Pass thru-CA - Customer A/R Ck Conversion</t>
  </si>
  <si>
    <t>BNYM Pass thru-CA - NSF Return Payments</t>
  </si>
  <si>
    <t>BNYM Pass thru-CA - Misc Debits/Credits</t>
  </si>
  <si>
    <t>BNYM IN</t>
  </si>
  <si>
    <t>BNYM IN - Outbound Wire</t>
  </si>
  <si>
    <t>BNYM IN - Inbound Wires &amp; ACH</t>
  </si>
  <si>
    <t>BNYM IN - Customer Direct Debit</t>
  </si>
  <si>
    <t>BNYM IN - Customer ACH</t>
  </si>
  <si>
    <t>BNYM IN - Customer Lockbox</t>
  </si>
  <si>
    <t>BNYM IN - First Tech</t>
  </si>
  <si>
    <t>BNYM IN - Penn Credit - 3rd Party Collections</t>
  </si>
  <si>
    <t>BNYM IN - E-Return - Mellon</t>
  </si>
  <si>
    <t>BNYM IN - Customer A/R Ck Conversion</t>
  </si>
  <si>
    <t>BNYM IN - NSF Return Payments</t>
  </si>
  <si>
    <t>BNYM IN - Misc Debits/Credits</t>
  </si>
  <si>
    <t>BNYM IN - Client Services - 3rd Party Collections</t>
  </si>
  <si>
    <t>BNYM IA</t>
  </si>
  <si>
    <t>BNYM IA - Outbound Wire</t>
  </si>
  <si>
    <t>BNYM IA - Inbound Wires &amp; ACH</t>
  </si>
  <si>
    <t>BNYM IA - Customer Direct Debit</t>
  </si>
  <si>
    <t>BNYM IA - Customer ACH</t>
  </si>
  <si>
    <t>BNYM IA - Customer Lockbox</t>
  </si>
  <si>
    <t>BNYM IA - Firstech Collections</t>
  </si>
  <si>
    <t>BNYM IA - FiServ (fka CheckFree)</t>
  </si>
  <si>
    <t>BNYM IA - Penn Credit</t>
  </si>
  <si>
    <t>BNYM IA - E-Return - Mellon</t>
  </si>
  <si>
    <t>BNYM IA - Customer A/R Ck Conversion</t>
  </si>
  <si>
    <t>BNYM IA - NSF Return Payments</t>
  </si>
  <si>
    <t>BNYM IA - Misc Debits/Credits</t>
  </si>
  <si>
    <t>BNYM IA - Client Services - 3rd Party Collections</t>
  </si>
  <si>
    <t>BNYM KY</t>
  </si>
  <si>
    <t>BNYM KY - Outbound Wire</t>
  </si>
  <si>
    <t>BNYM KY - Inbound Wires &amp; ACH</t>
  </si>
  <si>
    <t>BNYM KY - Customer Direct Debit</t>
  </si>
  <si>
    <t>BNYM KY - Customer ACH</t>
  </si>
  <si>
    <t>BNYM KY - Customer Lockbox</t>
  </si>
  <si>
    <t>BNYM KY - FiServ (fka CheckFree)</t>
  </si>
  <si>
    <t>BNYM KY - Penn Credit</t>
  </si>
  <si>
    <t>BNYM KY - E-Return - Mellon</t>
  </si>
  <si>
    <t>BNYM KY - Customer A/R Ck Conversion</t>
  </si>
  <si>
    <t>BNYM KY - NSF Return Payments</t>
  </si>
  <si>
    <t>BNYM KY - Misc Debits/Credits</t>
  </si>
  <si>
    <t>BNYM KY - Client Services - 3rd Party Collections</t>
  </si>
  <si>
    <t>BNYM MD</t>
  </si>
  <si>
    <t>BNYM MD - Outbound Wire</t>
  </si>
  <si>
    <t>BNYM MD - Inbound Wires &amp; ACH</t>
  </si>
  <si>
    <t>BNYM MD - Customer Direct Debit</t>
  </si>
  <si>
    <t>BNYM MD - Customer ACH</t>
  </si>
  <si>
    <t>BNYM MD - Customer Lockbox</t>
  </si>
  <si>
    <t>BNYM MD - FiServ (fka CheckFree)</t>
  </si>
  <si>
    <t>BNYM MD - Penn Credit</t>
  </si>
  <si>
    <t>BNYM MD - E-Return - Mellon</t>
  </si>
  <si>
    <t>BNYM MD - Customer A/R Ck Conversion</t>
  </si>
  <si>
    <t>BNYM MD - NSF Return Payments</t>
  </si>
  <si>
    <t>BNYM MD - Misc Debits/Credits</t>
  </si>
  <si>
    <t>BNYM MD - Client Services - 3rd Party Collections</t>
  </si>
  <si>
    <t>BNYM CA - Main</t>
  </si>
  <si>
    <t>BNYM CA - Outbound Wire</t>
  </si>
  <si>
    <t>BNYM CA - Inbound Wires &amp; ACH</t>
  </si>
  <si>
    <t>BNYM CA - Customer Direct Debit</t>
  </si>
  <si>
    <t>BNYM CA - Customer ACH</t>
  </si>
  <si>
    <t>BNYM CA - Customer Lockbox</t>
  </si>
  <si>
    <t>BNYM CA - FiServ (fka CheckFree)</t>
  </si>
  <si>
    <t>BNYM CA - Penn Credit</t>
  </si>
  <si>
    <t>BNYM CA - E-Return - Mellon</t>
  </si>
  <si>
    <t>BNYM CA - Customer A/R Ck Conversion</t>
  </si>
  <si>
    <t>BNYM CA - NSF Return Payments</t>
  </si>
  <si>
    <t>BNYM CA - Misc Debits/Credits</t>
  </si>
  <si>
    <t>BNYM CA - Client Services - 3rd Party Collections</t>
  </si>
  <si>
    <t>BNYM MO</t>
  </si>
  <si>
    <t>BNYM MO - Outbound Wire</t>
  </si>
  <si>
    <t>BNYM MO - Inbound Wires &amp; ACH</t>
  </si>
  <si>
    <t>BNYM MO - Customer Direct Debit</t>
  </si>
  <si>
    <t>BNYM MO - Customer ACH</t>
  </si>
  <si>
    <t>BNYM MO - Customer Lockbox</t>
  </si>
  <si>
    <t>BNYM MO - First Tech</t>
  </si>
  <si>
    <t>BNYM MO - Penn Credit</t>
  </si>
  <si>
    <t>BNYM MO - E-Return - Mellon</t>
  </si>
  <si>
    <t>BNYM MO - Customer A/R Ck Conversion</t>
  </si>
  <si>
    <t>BNYM MO - NSF Return Payments</t>
  </si>
  <si>
    <t>BNYM MO - Misc Debits/Credits</t>
  </si>
  <si>
    <t>BNYM MO - Client Services - 3rd Party Collections</t>
  </si>
  <si>
    <t>BNYM NJ</t>
  </si>
  <si>
    <t>BNYM NJ - Outbound Wire</t>
  </si>
  <si>
    <t>BNYM NJ - Inbound Wires &amp; ACH</t>
  </si>
  <si>
    <t>BNYM NJ - Customer Direct Debit</t>
  </si>
  <si>
    <t>BNYM NJ - Customer ACH</t>
  </si>
  <si>
    <t>BNYM NJ - Customer Lockbox</t>
  </si>
  <si>
    <t>BNYM NJ - FiServ (fka CheckFree)</t>
  </si>
  <si>
    <t>BNYM NJ - Penn Credit</t>
  </si>
  <si>
    <t>BNYM NJ - E-Return - Mellon</t>
  </si>
  <si>
    <t>BNYM NJ - Customer A/R Ck Conversion</t>
  </si>
  <si>
    <t>BNYM NJ - NSF Return Payments</t>
  </si>
  <si>
    <t>BNYM NJ - Misc Debits/Credits</t>
  </si>
  <si>
    <t>BNYM NJ - Client Services - 3rd Party Collections</t>
  </si>
  <si>
    <t>BNYM NM</t>
  </si>
  <si>
    <t>BNYM NM - Customer ACH</t>
  </si>
  <si>
    <t>BNYM NM - Customer Lockbox</t>
  </si>
  <si>
    <t>BNYM NM - NSF Return Payments</t>
  </si>
  <si>
    <t>BNYM NM - Misc Debits/Credits</t>
  </si>
  <si>
    <t>BNYM OH</t>
  </si>
  <si>
    <t>BNYM OH - Customer ACH</t>
  </si>
  <si>
    <t>BNYM OH - Customer Lockbox</t>
  </si>
  <si>
    <t>BNYM OH - NSF Return Payments</t>
  </si>
  <si>
    <t>BNYM OH - Misc Debits/Credits</t>
  </si>
  <si>
    <t>BNYM AZ</t>
  </si>
  <si>
    <t>BNYM AZ - Customer ACH</t>
  </si>
  <si>
    <t>BNYM AZ - Customer Lockbox</t>
  </si>
  <si>
    <t>BNYM AZ - NSF Return Payments</t>
  </si>
  <si>
    <t>BNYM AZ - Misc Debits/Credits</t>
  </si>
  <si>
    <t>BNYM PA</t>
  </si>
  <si>
    <t>BNYM PA - Outbound Wire</t>
  </si>
  <si>
    <t>BNYM PA - Inbound Wires &amp; ACH</t>
  </si>
  <si>
    <t>BNYM PA - Customer Direct Debit</t>
  </si>
  <si>
    <t>BNYM PA - Customer ACH</t>
  </si>
  <si>
    <t>BNYM PA - Customer Lockbox</t>
  </si>
  <si>
    <t>BNYM PA - FiServ (fka CheckFree)</t>
  </si>
  <si>
    <t>BNYM PA - Penn Credit</t>
  </si>
  <si>
    <t>BNYM PA - E-Return - Mellon</t>
  </si>
  <si>
    <t>BNYM PA - Customer A/R Ck Conversion</t>
  </si>
  <si>
    <t>BNYM PA - NSF Return Payments</t>
  </si>
  <si>
    <t>BNYM PA - Misc Debits/Credits</t>
  </si>
  <si>
    <t>BNYM PA - Client Services - 3rd Party Collections</t>
  </si>
  <si>
    <t>BNYM IL - Main</t>
  </si>
  <si>
    <t>BNYM IL - Outbound Wire</t>
  </si>
  <si>
    <t>BNYM IL - Inbound Wires &amp; ACH</t>
  </si>
  <si>
    <t>BNYM IL - Customer Direct Debit</t>
  </si>
  <si>
    <t>BNYM IL - Customer ACH</t>
  </si>
  <si>
    <t>BNYM IL - Customer Lockbox</t>
  </si>
  <si>
    <t>BNYM IL - First Tech</t>
  </si>
  <si>
    <t>BNYM IL - FiServ (fka CheckFree)</t>
  </si>
  <si>
    <t>BNYM IL - Penn Credit</t>
  </si>
  <si>
    <t>BNYM IL - E-Return - Mellon</t>
  </si>
  <si>
    <t>BNYM IL - Customer A/R Ck Conversion</t>
  </si>
  <si>
    <t>BNYM IL - NSF Return Payments</t>
  </si>
  <si>
    <t>BNYM IL - Misc Debits/Credits</t>
  </si>
  <si>
    <t>BNYM IL - Client Services - 3rd Party Collections</t>
  </si>
  <si>
    <t>BNYM TN</t>
  </si>
  <si>
    <t>BNYM TN - Outbound Wire</t>
  </si>
  <si>
    <t>BNYM TN - Inbound Wires &amp; ACH</t>
  </si>
  <si>
    <t>BNYM TN - Customer Direct Debit</t>
  </si>
  <si>
    <t>BNYM TN - Customer ACH</t>
  </si>
  <si>
    <t>BNYM TN - Customer Lockbox</t>
  </si>
  <si>
    <t>BNYM TN - Firstech Collections</t>
  </si>
  <si>
    <t>BNYM TN - FiServ (fka CheckFree)</t>
  </si>
  <si>
    <t>BNYM TN - Penn Credit</t>
  </si>
  <si>
    <t>BNYM TN - E-Return - Mellon</t>
  </si>
  <si>
    <t>BNYM TN - Customer A/R Ck Conversion</t>
  </si>
  <si>
    <t>BNYM TN - NSF Return Payments</t>
  </si>
  <si>
    <t>BNYM TN - Misc Debits/Credits</t>
  </si>
  <si>
    <t>BNYM TN - Client Services - 3rd Party Collections</t>
  </si>
  <si>
    <t>BNYM VA</t>
  </si>
  <si>
    <t>BNYM VA - Outbound Wire</t>
  </si>
  <si>
    <t>BNYM VA - Inbound Wires &amp; ACH</t>
  </si>
  <si>
    <t>BNYM VA - Customer Direct Debit</t>
  </si>
  <si>
    <t>BNYM VA - Customer ACH</t>
  </si>
  <si>
    <t>BNYM VA - Customer Lockbox</t>
  </si>
  <si>
    <t>BNYM VA - FiServ (fka CheckFree)</t>
  </si>
  <si>
    <t>BNYM VA - Penn Credit</t>
  </si>
  <si>
    <t>BNYM VA - E-Return - Mellon</t>
  </si>
  <si>
    <t>BNYM VA - Customer A/R Ck Conversion</t>
  </si>
  <si>
    <t>BNYM VA - NSF Return Payments</t>
  </si>
  <si>
    <t>BNYM VA - Misc Debits/Credits</t>
  </si>
  <si>
    <t>BNYM VA - Client Services - 3rd Party Collections</t>
  </si>
  <si>
    <t>BNYM WV</t>
  </si>
  <si>
    <t>BNYM WV - Outbound Wire</t>
  </si>
  <si>
    <t>BNYM WV - Inbound Wires &amp; ACH</t>
  </si>
  <si>
    <t>BNYM WV - Customer Direct Debit</t>
  </si>
  <si>
    <t>BNYM WV - Customer ACH</t>
  </si>
  <si>
    <t>BNYM WV - Customer Lockbox</t>
  </si>
  <si>
    <t>BNYM WV - FiServ (fka CheckFree)</t>
  </si>
  <si>
    <t>BNYM WV - Penn Credit</t>
  </si>
  <si>
    <t>BNYM WV - E-Return - Mellon</t>
  </si>
  <si>
    <t>BNYM WV - Customer A/R Ck Conversion</t>
  </si>
  <si>
    <t>BNYM WV - NSF Return Payments</t>
  </si>
  <si>
    <t>BNYM WV - Misc Debits/Credits</t>
  </si>
  <si>
    <t>BNYM WV - Client Services - 3rd Party Collections</t>
  </si>
  <si>
    <t>BNYM HI</t>
  </si>
  <si>
    <t>BNYM HI - Outbound Wire</t>
  </si>
  <si>
    <t>BNYM HI - Inbound Wires &amp; ACH</t>
  </si>
  <si>
    <t>BNYM HI - Customer Direct Debit</t>
  </si>
  <si>
    <t>BNYM HI - Customer ACH</t>
  </si>
  <si>
    <t>BNYM HI - Customer Lockbox</t>
  </si>
  <si>
    <t>BNYM HI - First Tech</t>
  </si>
  <si>
    <t>BNYM HI - FiServ (fka CheckFree)</t>
  </si>
  <si>
    <t>BNYM HI - Penn Credit</t>
  </si>
  <si>
    <t>BNYM HI - E-Return - Mellon</t>
  </si>
  <si>
    <t>BNYM HI - Customer A/R Ck Conversion</t>
  </si>
  <si>
    <t>BNYM HI - NSF Return Payments</t>
  </si>
  <si>
    <t>BNYM HI - Misc Debits/Credits</t>
  </si>
  <si>
    <t>BNYM HI - Client Services - 3rd Party Collections</t>
  </si>
  <si>
    <t>BNYM NY</t>
  </si>
  <si>
    <t>BNYM NY - Outbound Wire</t>
  </si>
  <si>
    <t>BNYM NY - Inbound Wires &amp; ACH</t>
  </si>
  <si>
    <t>BNYM NY - Customer Direct Debit</t>
  </si>
  <si>
    <t>BNYM NY - Customer ACH</t>
  </si>
  <si>
    <t>BNYM NY - Customer Lockbox</t>
  </si>
  <si>
    <t>BNYM NY - First Tech</t>
  </si>
  <si>
    <t>BNYM NY - FiServ (fka CheckFree)</t>
  </si>
  <si>
    <t>BNYM NY - Penn Credit</t>
  </si>
  <si>
    <t>BNYM NY - E-Return - Mellon</t>
  </si>
  <si>
    <t>BNYM NY - Customer A/R Ck Conversion</t>
  </si>
  <si>
    <t>BNYM NY - NSF Return Payments</t>
  </si>
  <si>
    <t>BNYM NY - Misc Debits/Credits</t>
  </si>
  <si>
    <t>BNYM NY - Client Services - 3rd Party Collections</t>
  </si>
  <si>
    <t>BNYM EWC</t>
  </si>
  <si>
    <t>BNYM EWC - Outbound Wire</t>
  </si>
  <si>
    <t>BNYM EWC - Inbound Wires &amp; ACH</t>
  </si>
  <si>
    <t>BNYM EWC - Customer Direct Debit</t>
  </si>
  <si>
    <t>BNYM EWC - Customer Lockbox</t>
  </si>
  <si>
    <t>BNYM EWC - Online Resources Credit Corp</t>
  </si>
  <si>
    <t>BNYM EWC - First Tech</t>
  </si>
  <si>
    <t>BNYM EWC - FiServ (fka CheckFree)</t>
  </si>
  <si>
    <t>BNYM EWC - Penn Credit</t>
  </si>
  <si>
    <t>BNYM EWC - E-Return - Mellon</t>
  </si>
  <si>
    <t>BNYM EWC - E-Return - Online Resource Ck Conv</t>
  </si>
  <si>
    <t>BNYM EWC - Customer A/R Ck Conversion</t>
  </si>
  <si>
    <t>BNYM EWC - NSF Return Payments</t>
  </si>
  <si>
    <t>BNYM EWC - Misc Debits/Credits</t>
  </si>
  <si>
    <t>BNYM MH</t>
  </si>
  <si>
    <t>BNYM MH - Outbound Wire</t>
  </si>
  <si>
    <t>BNYM MH - Customer Direct Debit</t>
  </si>
  <si>
    <t>BNYM MH - Customer Lockbox</t>
  </si>
  <si>
    <t>BNYM MH - Online Resources Credit Corp</t>
  </si>
  <si>
    <t>BNYM MH - First Tech</t>
  </si>
  <si>
    <t>BNYM MH - FiServ (fka CheckFree)</t>
  </si>
  <si>
    <t>BNYM MH - Penn Credit</t>
  </si>
  <si>
    <t>BNYM MH - E-Return - Mellon</t>
  </si>
  <si>
    <t>BNYM MH - E-Return - Online Resource Ck Conv</t>
  </si>
  <si>
    <t>BNYM MH - Customer A/R Ck Conversion</t>
  </si>
  <si>
    <t>BNYM MH - NSF - Return Payments</t>
  </si>
  <si>
    <t>BNYM MH - Misc Debits/Credits</t>
  </si>
  <si>
    <t>PNC AWCC-Concentration</t>
  </si>
  <si>
    <t>PNC AWCC-Concentration - Outbound Wire</t>
  </si>
  <si>
    <t>PNC AWCC-Concentration - Outbound ACH</t>
  </si>
  <si>
    <t>PNC AWCC-Concentration - Inbound Wires &amp; ACH</t>
  </si>
  <si>
    <t>PNC AWCC-Concentration - ZBA Activity</t>
  </si>
  <si>
    <t>PNC AWCC-Concentration - Penn Credit</t>
  </si>
  <si>
    <t>PNC AWCC-Concentration - Misc Debits/Credits</t>
  </si>
  <si>
    <t>PNC AWCC-Accounts Payable</t>
  </si>
  <si>
    <t>PNC AWCC-Accounts Payable - Outbound ACH</t>
  </si>
  <si>
    <t>PNC AWCC-Accounts Payable - Outbound Check</t>
  </si>
  <si>
    <t>PNC AWCC-Accounts Payable - Inbound Wires &amp; ACH</t>
  </si>
  <si>
    <t>PNC AWCC-Accounts Payable - ZBA Activity</t>
  </si>
  <si>
    <t>PNC AWCC-Accounts Payable - Misc Debits/Credits</t>
  </si>
  <si>
    <t>PNC AWCC-Payroll</t>
  </si>
  <si>
    <t>PNC AWCC-Payroll - Outbound ACH</t>
  </si>
  <si>
    <t>PNC AWCC-Payroll - Outbound Check</t>
  </si>
  <si>
    <t>PNC AWCC-Payroll - Inbound Wires &amp; ACH</t>
  </si>
  <si>
    <t>PNC AWCC-Payroll - ZBA Activity</t>
  </si>
  <si>
    <t>PNC AWCC-Payroll - Misc Debits/Credits</t>
  </si>
  <si>
    <t>PNC AWCC-Customer Refund</t>
  </si>
  <si>
    <t>PNC AWCC-Customer Refund - Outbound Check</t>
  </si>
  <si>
    <t>PNC AWCC-Customer Refund - Inbound Wires &amp; ACH</t>
  </si>
  <si>
    <t>PNC AWCC-Customer Refund - ZBA Activity</t>
  </si>
  <si>
    <t>PNC AWCC-Customer Refund - Misc Debits/Credits</t>
  </si>
  <si>
    <t>PNC AWCC-Commercial Paper</t>
  </si>
  <si>
    <t>PNC AWCC-Commercial Paper - Outbound Wire</t>
  </si>
  <si>
    <t>PNC AWCC-Commercial Paper - Outbound ACH</t>
  </si>
  <si>
    <t>PNC AWCC-Commercial Paper - Inbound Wires &amp; ACH</t>
  </si>
  <si>
    <t>PNC AWCC-Commercial Paper - Misc Debits/Credits</t>
  </si>
  <si>
    <t>PNC AWCC- Credit Line</t>
  </si>
  <si>
    <t>PNC AWCC- Credit Line - Outbound Wire</t>
  </si>
  <si>
    <t>PNC AWCC- Credit Line - Outbound ACH</t>
  </si>
  <si>
    <t>PNC AWCC- Credit Line - Inbound Wires &amp; ACH</t>
  </si>
  <si>
    <t>PNC AWCC- Credit Line - Misc Debits/Credits</t>
  </si>
  <si>
    <t>PNC AWCC-Misc Items Lockbox</t>
  </si>
  <si>
    <t>PNC AWCC-Misc Items Lockbox - Outbound Wire</t>
  </si>
  <si>
    <t>PNC AWCC-Misc Items Lockbox - Outbound ACH</t>
  </si>
  <si>
    <t>PNC AWCC-Misc Items Lockbox - Inbound Wires &amp; ACH</t>
  </si>
  <si>
    <t>PNC AWCC-Misc Items Lockbox - Misc Debits/Credits</t>
  </si>
  <si>
    <t>PNC AWCC-AP Vendor Payment</t>
  </si>
  <si>
    <t>PNC AWCC-AP Vendor Payment - Outbound Wire</t>
  </si>
  <si>
    <t>PNC AWCC-AP Vendor Payment - Oubound ACH</t>
  </si>
  <si>
    <t>PNC AWCC-AP Vendor Payment - Inbound Wires &amp; ACH</t>
  </si>
  <si>
    <t>PNC AWCC-AP Vendor Payment - ZBA Activity</t>
  </si>
  <si>
    <t>Suntrust TN</t>
  </si>
  <si>
    <t>Suntrust TN - Outbound Wire</t>
  </si>
  <si>
    <t>Suntrust TN - Customer Direct Debit</t>
  </si>
  <si>
    <t>Suntrust TN - Customer Lockbox</t>
  </si>
  <si>
    <t>Suntrust TN - Online Resources Credit Corp</t>
  </si>
  <si>
    <t>Suntrust TN - FiServ (fka CheckFree)</t>
  </si>
  <si>
    <t>Suntrust TN - Penn Credit</t>
  </si>
  <si>
    <t>Suntrust TN - E-Return - Mellon</t>
  </si>
  <si>
    <t>Suntrust TN - E-Return - Online Resource Ck Conv</t>
  </si>
  <si>
    <t>Suntrust TN - Customer A/R Ck Conversion</t>
  </si>
  <si>
    <t>Suntrust TN - NSF - Return Payments</t>
  </si>
  <si>
    <t>Suntrust TN - Misc Debits/Credits</t>
  </si>
  <si>
    <t>River Valley MI</t>
  </si>
  <si>
    <t>River Valley MI - Outbound Wire</t>
  </si>
  <si>
    <t>River Valley MI - Outbound ACH</t>
  </si>
  <si>
    <t>River Valley MI - Customer Lockbox</t>
  </si>
  <si>
    <t>River Valley MI - NSF Return Payments</t>
  </si>
  <si>
    <t>River Valley MI - Misc Debits/Credits</t>
  </si>
  <si>
    <t>First Hawaiian HI</t>
  </si>
  <si>
    <t>First Hawaiian HI - Outbound Wire</t>
  </si>
  <si>
    <t>First Hawaiian HI - Outbound ACH</t>
  </si>
  <si>
    <t>First Hawaiian HI - Customer Lockbox</t>
  </si>
  <si>
    <t>First Hawaiian HI - NSF Return Payments</t>
  </si>
  <si>
    <t>First Hawaiian HI - Misc Debits/Credits</t>
  </si>
  <si>
    <t>Union First VA</t>
  </si>
  <si>
    <t>Union First VA - Outbound Wire</t>
  </si>
  <si>
    <t>Union First VA - Outbound ACH</t>
  </si>
  <si>
    <t>Union First VA - Customer Lockbox</t>
  </si>
  <si>
    <t>Union First VA - Misc Debits/Credits</t>
  </si>
  <si>
    <t>TD Bank - Gift Card Incentive</t>
  </si>
  <si>
    <t>PNC Conveyance Fee Escrow - Main</t>
  </si>
  <si>
    <t>PNC Conveyance Fee Escrow - Outbound Wire</t>
  </si>
  <si>
    <t>PNC Conveyance Fee Escrow - Misc Debits/Credits</t>
  </si>
  <si>
    <t>Busey Bank IL-Collections for Bollingbrook</t>
  </si>
  <si>
    <t>Busey Bank IL-NSF Return Payments-Bollingbrook</t>
  </si>
  <si>
    <t>First Volunteer Bank, Whitwell, TN</t>
  </si>
  <si>
    <t>Cash Clearing - NSF Check</t>
  </si>
  <si>
    <t>Cash Clearing - Mixed Payments</t>
  </si>
  <si>
    <t>Cash Clearing - Misc Debits/Credits</t>
  </si>
  <si>
    <t>Cash Clearing - MI's</t>
  </si>
  <si>
    <t>Cash Clearing - ORCOM</t>
  </si>
  <si>
    <t>Cash Clearing - Intercompany</t>
  </si>
  <si>
    <t>Cash Conversion History</t>
  </si>
  <si>
    <t>Petty Cash</t>
  </si>
  <si>
    <t>Temp Investments - under 90 days</t>
  </si>
  <si>
    <t>Temp Investments - over 90 days</t>
  </si>
  <si>
    <t>Funds Restricted for Construction - Current</t>
  </si>
  <si>
    <t>A/R - Customer - CIS Reconciliation</t>
  </si>
  <si>
    <t>A/R - Customer - Non-Regulated</t>
  </si>
  <si>
    <t>A/R - Customer - Unallocated</t>
  </si>
  <si>
    <t>A/R - Customer - ECIS</t>
  </si>
  <si>
    <t>A/R - Customer - Miscellaneous - PAW Other</t>
  </si>
  <si>
    <t>A/R - Customer - Pittsburgh</t>
  </si>
  <si>
    <t>A/R - Customer - Clearing - Credit Rfnd Processing</t>
  </si>
  <si>
    <t>A/R - Customer - Payment Clarification</t>
  </si>
  <si>
    <t>A/R - Customer - Returns Clarification</t>
  </si>
  <si>
    <t>Allowance for Uncollectible Accounts</t>
  </si>
  <si>
    <t>Allowance for Uncollectible Accounts Non-Regulated</t>
  </si>
  <si>
    <t>Allowance for Uncollectable Accts - CIS Conversion</t>
  </si>
  <si>
    <t>Unbilled Utility Revenue</t>
  </si>
  <si>
    <t>Unbilled Utility Revenue Non-Regulated</t>
  </si>
  <si>
    <t>A/R Assoc Cos - Miscellaneous</t>
  </si>
  <si>
    <t>A/R Assoc Cos - Reconciliation Account</t>
  </si>
  <si>
    <t>Intercompany System Clearing -CIS Only</t>
  </si>
  <si>
    <t>A/R Assoc Cos - Settlement Clearing</t>
  </si>
  <si>
    <t>A/R Assoc Cos - Service Company Bill</t>
  </si>
  <si>
    <t>A/R Assoc Cos - Service Settlement AWE</t>
  </si>
  <si>
    <t>A/R Assoc Cos - Service Settlement New York Aqua</t>
  </si>
  <si>
    <t>A/R Assoc Cos - Service Settlement Edison</t>
  </si>
  <si>
    <t>A/R Assoc Cos - Service Settlement Liberty</t>
  </si>
  <si>
    <t>A/R Assoc Cos - Service Settlement E'Town Services</t>
  </si>
  <si>
    <t>A/R Assoc Cos - Payroll Tax</t>
  </si>
  <si>
    <t>A/R Assoc Cos - Payroll Disbursements</t>
  </si>
  <si>
    <t>A/R Assoc Cos - Dividend Receivable</t>
  </si>
  <si>
    <t>A/R Assoc Cos - Interest Receivable</t>
  </si>
  <si>
    <t>A/R Assoc Cos - Dividend Equivalents</t>
  </si>
  <si>
    <t>N/R Assoc Co's</t>
  </si>
  <si>
    <t>Capital Lease Rec Assoc Cos</t>
  </si>
  <si>
    <t>Unearned Capital Lease Rec Assoc Cos</t>
  </si>
  <si>
    <t>Misc A/R - Reconciliation Account</t>
  </si>
  <si>
    <t>Misc A/R - Conversion</t>
  </si>
  <si>
    <t>Misc A/R - Manual</t>
  </si>
  <si>
    <t>Misc A/R - Retro Insurance</t>
  </si>
  <si>
    <t>Misc A/R - Liability Insurance</t>
  </si>
  <si>
    <t>Misc A/R - Medicare Subsidy</t>
  </si>
  <si>
    <t>Misc A/R - OPEB Trust</t>
  </si>
  <si>
    <t>Misc A/R - Employees</t>
  </si>
  <si>
    <t>Misc A/R - Employees Payroll</t>
  </si>
  <si>
    <t>Misc A/R - Miscellaneous Invoice Lockbox Clearing</t>
  </si>
  <si>
    <t>Misc Rec - Allow for Uncollectible Accts</t>
  </si>
  <si>
    <t>Notes Receivable</t>
  </si>
  <si>
    <t>Accrued Interest &amp; Dividend Receivable</t>
  </si>
  <si>
    <t>Current Portion LT Receivable</t>
  </si>
  <si>
    <t>Income Tax Receivable - SIT</t>
  </si>
  <si>
    <t>Income Tax Receivable - FIT</t>
  </si>
  <si>
    <t>Inventory - Plant Material</t>
  </si>
  <si>
    <t>Inventory - Fuel</t>
  </si>
  <si>
    <t>Inventory - Chemicals</t>
  </si>
  <si>
    <t>Inventory - Other Materials &amp; Supplies</t>
  </si>
  <si>
    <t>Inventory - Price Difference</t>
  </si>
  <si>
    <t>Inventory - Consignment Clearing</t>
  </si>
  <si>
    <t>Inventory - Conversion</t>
  </si>
  <si>
    <t>Other Special Deposits</t>
  </si>
  <si>
    <t>Other Current Assets</t>
  </si>
  <si>
    <t>Prepaid Taxes</t>
  </si>
  <si>
    <t>Prepaid Taxes - CIS-San Diego License/Franch Tax</t>
  </si>
  <si>
    <t>Prepaid Insurance</t>
  </si>
  <si>
    <t>Prepaid PUC/PSC Assessment</t>
  </si>
  <si>
    <t>Prepaid Audit Fees</t>
  </si>
  <si>
    <t>Prepaid Other</t>
  </si>
  <si>
    <t>Prepaid Other - Global</t>
  </si>
  <si>
    <t>Reg Asset-Inc Tax Rec Thru Rates-AFUDC Equity CWIP</t>
  </si>
  <si>
    <t>Reg Asset-Inc Tax Rec Thru Rates-AFUDC Equity</t>
  </si>
  <si>
    <t>Reg Asset-Inc Tax Rec Thru Rates-Plant Flow Thru</t>
  </si>
  <si>
    <t>Reg Asset-Inc Tax Rec Thru Rates-Other</t>
  </si>
  <si>
    <t>Reg Asset-Inc Tax Rec Thru Rates-St Flow Thru</t>
  </si>
  <si>
    <t>Reg Asset-Inc Tax Rec Thru Rates-St Tax Chg</t>
  </si>
  <si>
    <t>Reg Asset-Inc Tax Rec Thru Rates-Acc Amort</t>
  </si>
  <si>
    <t>Reg Asset-Inc Tax Rec Thru Rates-Reg Liab Reclass</t>
  </si>
  <si>
    <t>Reg Asset - Deferred Programmed Maint</t>
  </si>
  <si>
    <t>Reg Asset - Deferred Rate Case</t>
  </si>
  <si>
    <t>Reg Asset - Deferred OPEB</t>
  </si>
  <si>
    <t>Reg Asset - Deferred OPEB Service Co</t>
  </si>
  <si>
    <t>Reg Asset - Deferred Pension</t>
  </si>
  <si>
    <t>Reg Asset - Deferred Pension Service Co</t>
  </si>
  <si>
    <t>Reg Asset - Purchase Prem Rec Thru Rates</t>
  </si>
  <si>
    <t>Reg Asset - Unamortized Debt Exp</t>
  </si>
  <si>
    <t>Reg Asset - Unamortized Debt Exp Interco</t>
  </si>
  <si>
    <t>Reg Asset - Unamortized Preferred Stock Exp</t>
  </si>
  <si>
    <t>Reg Asset - Cost of Removal</t>
  </si>
  <si>
    <t>Reg Asset - Cost of Removal - RWIP</t>
  </si>
  <si>
    <t>Reg Asset - Deferred Vacation Pay</t>
  </si>
  <si>
    <t>Reg Asset - Deferred Cust Service Proj</t>
  </si>
  <si>
    <t>Reg Asset - Deferred Financial Services Proj</t>
  </si>
  <si>
    <t>Reg Asset - Sick Bank</t>
  </si>
  <si>
    <t>Reg Asset - Deferred Purchased Water</t>
  </si>
  <si>
    <t>Reg Asset - FAS112 Costs</t>
  </si>
  <si>
    <t>Reg Asset - Treatment Plant</t>
  </si>
  <si>
    <t>Reg Asset - Depreciation Study</t>
  </si>
  <si>
    <t>Reg Asset - Cost of Service Study</t>
  </si>
  <si>
    <t>Reg Asset - Post In-Service AFUDC</t>
  </si>
  <si>
    <t>Reg Asset - Post In-Service Depreciation</t>
  </si>
  <si>
    <t>Reg Asset - Environmental Remediation</t>
  </si>
  <si>
    <t>Reg Asset - Rental Costs</t>
  </si>
  <si>
    <t>Reg Asset - Oper Energy Efficiency</t>
  </si>
  <si>
    <t>Reg Asset - Cease &amp; Desist Order</t>
  </si>
  <si>
    <t>Reg Asset - Waste Disposal</t>
  </si>
  <si>
    <t>Reg Asset - Revenue Stabilization</t>
  </si>
  <si>
    <t>Reg Asset - Low Income Customer Data Sharing</t>
  </si>
  <si>
    <t>Reg Asset - Phase 1 ASR</t>
  </si>
  <si>
    <t>Reg Asset - Seaside ASR</t>
  </si>
  <si>
    <t>Reg Asset - Patton Well</t>
  </si>
  <si>
    <t>Reg Asset - Management Study</t>
  </si>
  <si>
    <t>Reg Asset - Santa Rosa Groundwater Survey</t>
  </si>
  <si>
    <t>Reg Asset - DSIC Surcharge</t>
  </si>
  <si>
    <t>Reg Asset - Low Income Program Costs</t>
  </si>
  <si>
    <t>Reg Asset - Interim Rates</t>
  </si>
  <si>
    <t>Reg Asset - Water Revenue Adjustment Mechanism</t>
  </si>
  <si>
    <t>Reg Asset - San Clemente Dam AFUDC</t>
  </si>
  <si>
    <t>Reg Asset - Conservation Surcharge</t>
  </si>
  <si>
    <t>Reg Asset - Engineering Study</t>
  </si>
  <si>
    <t>Reg Asset - San Clemente Dam Removal Costs</t>
  </si>
  <si>
    <t>Sand City Desal Plant Pur Wtr Bal Acct</t>
  </si>
  <si>
    <t>Reg Asset -Leak Adjustments</t>
  </si>
  <si>
    <t>Reg Asset - PSTAC Balancing Account</t>
  </si>
  <si>
    <t>Reg Asset - Additional Security Costs</t>
  </si>
  <si>
    <t>Reg Asset - Conservation Balancing Acct</t>
  </si>
  <si>
    <t>Reg Asset - Purch Power &amp; Water Balancing Acct</t>
  </si>
  <si>
    <t>Reg Asset - Carmel River Dam</t>
  </si>
  <si>
    <t>Reg Asset - Coastal Water Project Surcharge</t>
  </si>
  <si>
    <t>Reg Asset - Seaside GW Basin</t>
  </si>
  <si>
    <t>Reg Asset - Endangered Species Act</t>
  </si>
  <si>
    <t>Reg Asset - Authorized Balancing Account</t>
  </si>
  <si>
    <t>Reg Asset - Water Action Plan - Memo Acct</t>
  </si>
  <si>
    <t>Reg Asset - Other</t>
  </si>
  <si>
    <t>LT Asset - Preliminary Financing Exp</t>
  </si>
  <si>
    <t>LT Asset - SERP Trust</t>
  </si>
  <si>
    <t>LT Asset - Prelim Survey &amp; Investigation</t>
  </si>
  <si>
    <t>LT Asset - Unamortized Debt Exp Non-Reg</t>
  </si>
  <si>
    <t>LT Asset - Unamort Debt Exp Non-Reg Interco</t>
  </si>
  <si>
    <t>LT Asset - Unamort Debt In - Revolver</t>
  </si>
  <si>
    <t>LT Asset - Swap Contract</t>
  </si>
  <si>
    <t>LT Asset - Receivable</t>
  </si>
  <si>
    <t>LT Asset - Intercompany Notes</t>
  </si>
  <si>
    <t>LT Asset - Intercompany Capital Lease</t>
  </si>
  <si>
    <t>LT Asset - Intercompany Capital Lease Income</t>
  </si>
  <si>
    <t>LT Asset - Other</t>
  </si>
  <si>
    <t>Funds Restricted for Construction - LT</t>
  </si>
  <si>
    <t>Common Stock - Subs Minority Interest</t>
  </si>
  <si>
    <t>Common Stock - Subs Intercompany</t>
  </si>
  <si>
    <t>Common Stock - AWK</t>
  </si>
  <si>
    <t>Paid-in Capital - Subs Minority Interest</t>
  </si>
  <si>
    <t>Paid-in Capital - Subs Intercompany</t>
  </si>
  <si>
    <t>Paid-in Capital - AWK Misc</t>
  </si>
  <si>
    <t>Paid-in Capital - AWK Restricted Stock</t>
  </si>
  <si>
    <t>Paid-in Capital - AWK Options</t>
  </si>
  <si>
    <t>Paid-in Capital - AWK RSU's</t>
  </si>
  <si>
    <t>Paid-in Capital - AWK Treasury Stock</t>
  </si>
  <si>
    <t>Paid-in Capital - AWK ESPP</t>
  </si>
  <si>
    <t>Paid-in Capital - AWK DRIP</t>
  </si>
  <si>
    <t>Paid-in Capital - DWAC Fees</t>
  </si>
  <si>
    <t>Paid-in Capital - Tax Windfall</t>
  </si>
  <si>
    <t>Paid-in Capital - AWK Capital Stock Expense</t>
  </si>
  <si>
    <t>Retained Earnings at Acquisition Intercompany</t>
  </si>
  <si>
    <t>Retained Earnings Since Acquisition</t>
  </si>
  <si>
    <t>Treasury stock</t>
  </si>
  <si>
    <t>Accumulated Comprehensive Income</t>
  </si>
  <si>
    <t>Preferred Stock - w/o Mandatory Redemptn Requirmts</t>
  </si>
  <si>
    <t>Preferred Stock - w/o Mand Redemptn Requirmts I/C</t>
  </si>
  <si>
    <t>Preferred Stock - Redeemable</t>
  </si>
  <si>
    <t>Preferred Stock - Redeemable FV Uplift</t>
  </si>
  <si>
    <t>Curr Portion - Redeemable Preferred Stock</t>
  </si>
  <si>
    <t>Bonds</t>
  </si>
  <si>
    <t>Bonds - FV Uplift</t>
  </si>
  <si>
    <t>Bonds - FV Hedge</t>
  </si>
  <si>
    <t>LT Debt - Discount Inside</t>
  </si>
  <si>
    <t>AWTR-LT Debt Premium-Outside</t>
  </si>
  <si>
    <t>Bonds - Interco</t>
  </si>
  <si>
    <t>Capital Lease</t>
  </si>
  <si>
    <t>Capital Lease - Interco</t>
  </si>
  <si>
    <t>Current Portion LTD</t>
  </si>
  <si>
    <t>Current Portion LTD - Interco</t>
  </si>
  <si>
    <t>Current Portion Capital Lease</t>
  </si>
  <si>
    <t>Current Portion Capital Lease Interco</t>
  </si>
  <si>
    <t>N/P Commercial Paper</t>
  </si>
  <si>
    <t>N/P Commercial Paper Discount</t>
  </si>
  <si>
    <t>N/P Assoc Cos</t>
  </si>
  <si>
    <t>In-House Cash Center Bank</t>
  </si>
  <si>
    <t>IHC Clearing - Outgoing Payment</t>
  </si>
  <si>
    <t>IHC Clearing - Incoming Payment</t>
  </si>
  <si>
    <t>In-House Cash Center - Payment Clearing</t>
  </si>
  <si>
    <t>In-House Cash Center - Clearing Account</t>
  </si>
  <si>
    <t>IHC Clearing - Intermediate</t>
  </si>
  <si>
    <t>IHC Clearing - Other</t>
  </si>
  <si>
    <t>N/P Assoc Cos - Loan Clearing</t>
  </si>
  <si>
    <t>N/P Revolving Credit Line</t>
  </si>
  <si>
    <t>A/P - Reconciliation Account</t>
  </si>
  <si>
    <t>A/P Intercompany - Reconciliation Account</t>
  </si>
  <si>
    <t>A/P - Conversion</t>
  </si>
  <si>
    <t>A/P - Pcard</t>
  </si>
  <si>
    <t>A/P - Gcard Clearing</t>
  </si>
  <si>
    <t>A/P - Pcard Clearing</t>
  </si>
  <si>
    <t>A/P - Contracted Services</t>
  </si>
  <si>
    <t>A/P - Phone Bills</t>
  </si>
  <si>
    <t>A/P - Contract Retentions</t>
  </si>
  <si>
    <t>A/P - Miscellaneous</t>
  </si>
  <si>
    <t>A/P - Workbasket Accrual</t>
  </si>
  <si>
    <t>A/P - Pcard Accrual</t>
  </si>
  <si>
    <t>A/P - PNC Loan Clearing</t>
  </si>
  <si>
    <t>A/P - Misc Global</t>
  </si>
  <si>
    <t>A/P - Project Cost Accrual</t>
  </si>
  <si>
    <t>A/P-GRIR Capital Services</t>
  </si>
  <si>
    <t>A/P - Income Taxes Withheld</t>
  </si>
  <si>
    <t>A/P Associated Companies</t>
  </si>
  <si>
    <t>A/P Associated Companies - Dividend Equivalents</t>
  </si>
  <si>
    <t>A/P Associated Companies - Service Co Bill</t>
  </si>
  <si>
    <t>CFO - WLPP Interco</t>
  </si>
  <si>
    <t>CFO - SLPP Interco</t>
  </si>
  <si>
    <t>CFO - InHome Interco</t>
  </si>
  <si>
    <t>CFO - WLPP/SLPP Interco</t>
  </si>
  <si>
    <t>CFO - WLPP/SLPP/InHome Interco</t>
  </si>
  <si>
    <t>CFO - WLPP Receivable Interco</t>
  </si>
  <si>
    <t>CFO - WLPP Receivable Interco - CIS Reconciliation</t>
  </si>
  <si>
    <t>CFO - SLPP Receivable Interco</t>
  </si>
  <si>
    <t>CFO - SLPP Receivable Interco - CIS Reconciliation</t>
  </si>
  <si>
    <t>CFO - InHome Receivable Interco</t>
  </si>
  <si>
    <t>CFO - InHome Receivable I/C - CIS Reconciliation</t>
  </si>
  <si>
    <t>CFO - WLPP/SLPP Receivable Interco</t>
  </si>
  <si>
    <t>CFO - WLPP/SLPP Receivable I/C-CIS Reconciliation</t>
  </si>
  <si>
    <t>CFO - WLPP/SLPP/InHome Receivable Interco</t>
  </si>
  <si>
    <t>CFO - WLPP/SLPP/InHome Rec I/C-CIS Reconciliation</t>
  </si>
  <si>
    <t>Intercompany System Clearing</t>
  </si>
  <si>
    <t>Accrued FIT - Current Year</t>
  </si>
  <si>
    <t>Accrued FIT - Current Year Unitary Returns</t>
  </si>
  <si>
    <t>Accrued FIT - Prior Years</t>
  </si>
  <si>
    <t>Accrued FIT - Prior Years Unitary Returns</t>
  </si>
  <si>
    <t>Accrued SIT - Current Year</t>
  </si>
  <si>
    <t>Accrued SIT - Current Year Unitary Returns</t>
  </si>
  <si>
    <t>Accrued SIT - Prior Years</t>
  </si>
  <si>
    <t>Accrued SIT - Prior Years - Unitary Returns</t>
  </si>
  <si>
    <t>Accrued Tax - Gross Income &amp; Receipts</t>
  </si>
  <si>
    <t>Accrued Tax - Gross Income &amp; Receipts-IncTax</t>
  </si>
  <si>
    <t>Accrued Tax - FUTA</t>
  </si>
  <si>
    <t>Accrued Tax - FICA</t>
  </si>
  <si>
    <t>Accrued Tax - SUTA</t>
  </si>
  <si>
    <t>Accrued Tax - Payroll Tax Clearing</t>
  </si>
  <si>
    <t>Accrued Tax - Property Tax</t>
  </si>
  <si>
    <t>Accrued Tax - Use Tax</t>
  </si>
  <si>
    <t>Accrued Tax - Franchise Tax</t>
  </si>
  <si>
    <t>Accrued Tax - Franchise Tax - Income Tax</t>
  </si>
  <si>
    <t>Accrued Tax - PURTA</t>
  </si>
  <si>
    <t>Accrued Tax - Capital Stock</t>
  </si>
  <si>
    <t>Accrued Tax - Capital Stock - Income Tax</t>
  </si>
  <si>
    <t>Accrued Tax - Other</t>
  </si>
  <si>
    <t>Interest Accrued - LTD</t>
  </si>
  <si>
    <t>Interest Accrued - LTD Interco</t>
  </si>
  <si>
    <t>Interest Accrued - Redeemable Preferred Dividends</t>
  </si>
  <si>
    <t>Interest Accrued - Other</t>
  </si>
  <si>
    <t>Accrued Vacation Pay</t>
  </si>
  <si>
    <t>Accrued Water Purchases</t>
  </si>
  <si>
    <t>Accrued Power</t>
  </si>
  <si>
    <t>Accrued Legal</t>
  </si>
  <si>
    <t>Accrued Wages</t>
  </si>
  <si>
    <t>Accrued Wages - Net Adjustments Clearing</t>
  </si>
  <si>
    <t>Accrued Insurance</t>
  </si>
  <si>
    <t>Accrued Insurance Retro Adjustment</t>
  </si>
  <si>
    <t>Accrued Rents</t>
  </si>
  <si>
    <t>Accrued Waste Disposal</t>
  </si>
  <si>
    <t>Accrued Retiree Medical</t>
  </si>
  <si>
    <t>Accrued DCP - Contribution</t>
  </si>
  <si>
    <t>Accrued Bank Fees</t>
  </si>
  <si>
    <t>Accrued Credit Lines Fees</t>
  </si>
  <si>
    <t>Accrued Severance</t>
  </si>
  <si>
    <t>Accrued Healthy Solution</t>
  </si>
  <si>
    <t>Refund Rates Under Bond</t>
  </si>
  <si>
    <t>Accrued Safety Incentive</t>
  </si>
  <si>
    <t>Accrued Employer 401k Match</t>
  </si>
  <si>
    <t>Accr'd Pref'd Dividnds w/o Mand Redmptn Requiremts</t>
  </si>
  <si>
    <t>Pref'd Div Declared w/o Mand Redemptn Requiremts</t>
  </si>
  <si>
    <t>Common Dividends Declared</t>
  </si>
  <si>
    <t>Accrued Incentive Plan Cash</t>
  </si>
  <si>
    <t>Accrued Construction Costs</t>
  </si>
  <si>
    <t>Miscellaneous Deposits Payable</t>
  </si>
  <si>
    <t>Accrued Paving</t>
  </si>
  <si>
    <t>Accrued Litigation</t>
  </si>
  <si>
    <t>Customer Deposits</t>
  </si>
  <si>
    <t>Accrued Audit Fees</t>
  </si>
  <si>
    <t>Accrued NOAA Settlement - Current Portion</t>
  </si>
  <si>
    <t>Unclaimed Customer Credits</t>
  </si>
  <si>
    <t>Unclaimed A/P Checks</t>
  </si>
  <si>
    <t>Unclaimed Wages</t>
  </si>
  <si>
    <t>WH PR - Union Dues</t>
  </si>
  <si>
    <t>WH PR - Charity Contributions</t>
  </si>
  <si>
    <t>WH PR - Flex Spending</t>
  </si>
  <si>
    <t>WH PR - 401k Contributions</t>
  </si>
  <si>
    <t>WH PR - Garnishments</t>
  </si>
  <si>
    <t>WH PR - Life Insurance</t>
  </si>
  <si>
    <t>WH PR - Tax Coll Pay FIT</t>
  </si>
  <si>
    <t>WH PR - Tax Coll Pay SUI</t>
  </si>
  <si>
    <t>WH PR - Tax Coll Pay LIT</t>
  </si>
  <si>
    <t>WH PR - Tax Coll Pay FICA</t>
  </si>
  <si>
    <t>WH PR - ESPP</t>
  </si>
  <si>
    <t>WH PR - Miscellaneous</t>
  </si>
  <si>
    <t>WH PR - Tax Coll SIT</t>
  </si>
  <si>
    <t>GRIR - Stock E (Materials)</t>
  </si>
  <si>
    <t>GRIR - Stock D (Fuel)</t>
  </si>
  <si>
    <t>GRIR - Stock C (Chemicals)</t>
  </si>
  <si>
    <t>GRIR - Non-inventory</t>
  </si>
  <si>
    <t>GRIR - Freight</t>
  </si>
  <si>
    <t>GRIR-Capital Expenditure Accruals Reclass</t>
  </si>
  <si>
    <t>GRIR - Conversion</t>
  </si>
  <si>
    <t>CFO Miscellaneous</t>
  </si>
  <si>
    <t>CFO Customer Assistance</t>
  </si>
  <si>
    <t>CFO Customer Assistance Non Pledged</t>
  </si>
  <si>
    <t>CFO Customer Assistance Pledged</t>
  </si>
  <si>
    <t>CFO Primacy fees</t>
  </si>
  <si>
    <t>CFO MC/Sewer Revenue/Cash</t>
  </si>
  <si>
    <t>CFO MC/Sewer A/R</t>
  </si>
  <si>
    <t>CFO MC/Sewer Adjustment</t>
  </si>
  <si>
    <t>CFO MC/Sewer ChgOff</t>
  </si>
  <si>
    <t>CFO Sales Tax</t>
  </si>
  <si>
    <t>CFO Sales Tax AZ</t>
  </si>
  <si>
    <t>CFO Sales Tax CA Chula Vista</t>
  </si>
  <si>
    <t>CFO Sales Tax CA Sacramento</t>
  </si>
  <si>
    <t>CFO Sales Tax CA San Marino</t>
  </si>
  <si>
    <t>CFO Sales Tax FL</t>
  </si>
  <si>
    <t>CFO Sales Tax IL Belleville</t>
  </si>
  <si>
    <t>CFO Sales Tax IL Alton</t>
  </si>
  <si>
    <t>CFO Sales Tax IL Chicago</t>
  </si>
  <si>
    <t>CFO Sales Tax IN</t>
  </si>
  <si>
    <t>CFO Sales Tax KY</t>
  </si>
  <si>
    <t>CFO Sales Tax MO</t>
  </si>
  <si>
    <t>CFO Sales Tax NJ</t>
  </si>
  <si>
    <t>CFO Sales Tax PA</t>
  </si>
  <si>
    <t>CFO Sales Tax TN</t>
  </si>
  <si>
    <t>CFO Sales Tax WV</t>
  </si>
  <si>
    <t>CFO Sales Tax - from CIS</t>
  </si>
  <si>
    <t>CFO Gross Receipts Tax</t>
  </si>
  <si>
    <t>CFO Gross Receipts Tax - from CIS</t>
  </si>
  <si>
    <t>CFO Municipal Tax</t>
  </si>
  <si>
    <t>CFO Municipal Tax - from CIS</t>
  </si>
  <si>
    <t>CFO PUC Surcharge - from CIS</t>
  </si>
  <si>
    <t>Deferred Revenue - Current Portion</t>
  </si>
  <si>
    <t>Other Current Liabilities - Tax Sensitive</t>
  </si>
  <si>
    <t>Other Current Liabilities - Non-Tax Sensitive</t>
  </si>
  <si>
    <t>Advances for Construction - NT Services</t>
  </si>
  <si>
    <t>Advances for Construction - NT Meters</t>
  </si>
  <si>
    <t>Advances for Construction - NT Other</t>
  </si>
  <si>
    <t>Advances for Construction - Tax Services</t>
  </si>
  <si>
    <t>Advances for Construction - Tax Meters</t>
  </si>
  <si>
    <t>Advances for Construction - Tax Other</t>
  </si>
  <si>
    <t>Advances for Construction - Tax WIP</t>
  </si>
  <si>
    <t>Advances for Construction - Tax SIT</t>
  </si>
  <si>
    <t>Advances for Construction - Reclassed to Current</t>
  </si>
  <si>
    <t>Advances for Construction - Current</t>
  </si>
  <si>
    <t>Deferred FIT Liability - Normalized Property</t>
  </si>
  <si>
    <t>Deferred FIT Liability - Other</t>
  </si>
  <si>
    <t>Deferred FIT Liability - Unitary Returns</t>
  </si>
  <si>
    <t>Deferred FIT Asset - Long Term</t>
  </si>
  <si>
    <t>Deferred SIT Liability - Other</t>
  </si>
  <si>
    <t>Deferred SIT Liability - Unitary Returns</t>
  </si>
  <si>
    <t>Deferred SIT Asset - Long Term</t>
  </si>
  <si>
    <t>Deferred FIT Liability - Current</t>
  </si>
  <si>
    <t>Deferred FIT Asset - Current</t>
  </si>
  <si>
    <t>Deferred SIT Liability - Current</t>
  </si>
  <si>
    <t>Deferred SIT Asset - Current</t>
  </si>
  <si>
    <t>Unamortized ITC - 3%</t>
  </si>
  <si>
    <t>Unamortized ITC - 4%</t>
  </si>
  <si>
    <t>Unamortized ITC - 10%</t>
  </si>
  <si>
    <t>Unamortized ITC - 6%</t>
  </si>
  <si>
    <t>Unamortized ITC - State</t>
  </si>
  <si>
    <t>Reg Liab-Inc Tax Rec Thru Rates-Exc Def FIT</t>
  </si>
  <si>
    <t>Reg Liab-Inc Tax Rec Thru Rates-Exc Def AFUDC FIT</t>
  </si>
  <si>
    <t>Reg Liab-Inc Tax Rec Thru Rates-Exc Def Depr FIT</t>
  </si>
  <si>
    <t>Reg Liab-Inc Tax Rec Thru Rates-Deficit Def</t>
  </si>
  <si>
    <t>Reg Liab-Inc Tax Rec Thru Rates-Exc Def SIT</t>
  </si>
  <si>
    <t>Reg Liab-Inc Tax Rec Thru Rates-Exc Def AFUDC SIT</t>
  </si>
  <si>
    <t>Reg Liab-Inc Tax Rec Thru Rates-Exc Def Dep SIT</t>
  </si>
  <si>
    <t>Reg Liab-Inc Tax Rec Thru Rates-Other</t>
  </si>
  <si>
    <t>Reg Liab-Inc Tax Rec Thru Rates-ITC Gross-Up 3%</t>
  </si>
  <si>
    <t>Reg Liab-Inc Tax Rec Thru Rates-ITC Gross-Up 4%</t>
  </si>
  <si>
    <t>Reg Liab-Inc Tax Rec Thru Rates-ITC Gross-Up 10%</t>
  </si>
  <si>
    <t>Reg Liab-Inc Tax Rec Thru Rates-ITC Gross-Up 6%</t>
  </si>
  <si>
    <t>Reg Liab-Inc Tax Rec Thru Rates-ITC Gross-Up SIT</t>
  </si>
  <si>
    <t>Reg Liab - Revenue Stabilization</t>
  </si>
  <si>
    <t>Reg Liab - Property Tax Stabilization</t>
  </si>
  <si>
    <t>Reg Liab - Refund to Customers</t>
  </si>
  <si>
    <t>Reg Liab - Conservation Surcharge</t>
  </si>
  <si>
    <t>Reg Liab - Purchased Water Stabilization</t>
  </si>
  <si>
    <t>Reg Liab - Property Tax Settlement</t>
  </si>
  <si>
    <t>Reg Liab - PBOP Tracker</t>
  </si>
  <si>
    <t>Reg Liab - Pension Tracker</t>
  </si>
  <si>
    <t>Reg Liab - Tank Painting Tracker</t>
  </si>
  <si>
    <t>Reg Liab - Service Company Pension</t>
  </si>
  <si>
    <t>Reg Liab - PBOP</t>
  </si>
  <si>
    <t>Reg Liab - Pension Internal Reserve</t>
  </si>
  <si>
    <t>Reg Liab - Gain on Debt</t>
  </si>
  <si>
    <t>Reg Liab - Gain on Acquisition</t>
  </si>
  <si>
    <t>Reg Liab - Accrued Rate Case Expense</t>
  </si>
  <si>
    <t>Reg Liab - Property Sales in Suspense</t>
  </si>
  <si>
    <t>Reg Liab - CA Aerojet Project</t>
  </si>
  <si>
    <t>Reg Liab - MTBE Settlement</t>
  </si>
  <si>
    <t>Reg Liab - Atrazine Settlement</t>
  </si>
  <si>
    <t>Reg Liab - Def Revenue CIAC FIT</t>
  </si>
  <si>
    <t>Reg Liab - Refund of COR</t>
  </si>
  <si>
    <t>Reg Liab - Other</t>
  </si>
  <si>
    <t>Reg Liab - Cost of Removal</t>
  </si>
  <si>
    <t>Reg Liab - Cost of Removal RWIP</t>
  </si>
  <si>
    <t>Accrued Pension Expense</t>
  </si>
  <si>
    <t>Accrued Pension Expense ERP (SERP)</t>
  </si>
  <si>
    <t>Accrued Pension Expense ERP (SRP)</t>
  </si>
  <si>
    <t>Accrued Pension Exp ERP (Special Contract)</t>
  </si>
  <si>
    <t>Accrued OPEB NEI</t>
  </si>
  <si>
    <t>Accrued OPEB Medicare Subsidy</t>
  </si>
  <si>
    <t>Deferred Revenue - CIAC</t>
  </si>
  <si>
    <t>Deferred Revenue - CIAC FIT</t>
  </si>
  <si>
    <t>Deferred Revenue - CIAC SIT</t>
  </si>
  <si>
    <t>Deferred Revenue - Tax Gross-Up AIC</t>
  </si>
  <si>
    <t>Deferred Revenue - Tax Gross-Up AIC FIT/SIT</t>
  </si>
  <si>
    <t>Deferred Revenue - Tax Gross-Up AIC SIT</t>
  </si>
  <si>
    <t>Deferred Revenue</t>
  </si>
  <si>
    <t>MPWMD Surcharge Collected for Others</t>
  </si>
  <si>
    <t>Accrued Defined Contribution SERP</t>
  </si>
  <si>
    <t>Accrued NOAA Settlement</t>
  </si>
  <si>
    <t>Accrued 401k Restoration</t>
  </si>
  <si>
    <t>Accrued Asset Retirement Obligation Liability</t>
  </si>
  <si>
    <t>Deferred FAS 112 Costs</t>
  </si>
  <si>
    <t>Swap Contract FV Liability</t>
  </si>
  <si>
    <t>Extension Deposits in Suspense</t>
  </si>
  <si>
    <t>Advance Pay &amp; Deposits</t>
  </si>
  <si>
    <t>Accrued Dividend Equivalents</t>
  </si>
  <si>
    <t>Property Sales in Suspense</t>
  </si>
  <si>
    <t>Deferred Compensation (prior 1/1/08)</t>
  </si>
  <si>
    <t>Non-Qualified Savings &amp; Def Compensation</t>
  </si>
  <si>
    <t>Accrued Sick Bank</t>
  </si>
  <si>
    <t>Surcharge Clearing- WV B&amp;O Tax (CIS)</t>
  </si>
  <si>
    <t>DCN-Deferred Credit Other - Not Tax Sensitive</t>
  </si>
  <si>
    <t>Accrued Long Term Liability - Other</t>
  </si>
  <si>
    <t>Accrued Long Term Liability - Other Interco</t>
  </si>
  <si>
    <t>Misc Operating Reserve</t>
  </si>
  <si>
    <t>FIN 48 Reserve - Federal</t>
  </si>
  <si>
    <t>FIN 48 Reserve - State</t>
  </si>
  <si>
    <t>CIAC-Non Taxable -  Other Spec Fac Fee</t>
  </si>
  <si>
    <t>CIAC-Non Taxable -  Other Terra Cotta</t>
  </si>
  <si>
    <t>CIAC-Non Taxable -  Other Gov Gmt Contamn Proceed</t>
  </si>
  <si>
    <t>CIAC-Non Taxable -  Other Gov Loan Contamn Proceed</t>
  </si>
  <si>
    <t>CIAC-Non Taxable -  Other Damg Awd Contamn Proceed</t>
  </si>
  <si>
    <t>CIAC-Non Taxable -  Other Settlmnt Contamn Proceed</t>
  </si>
  <si>
    <t>CIAC-Non Taxable -  Other Gvt Ord Contmn Pvt Funds</t>
  </si>
  <si>
    <t>CIAC-Non Taxable -  Other Gvt Ord Contmn Pub Funds</t>
  </si>
  <si>
    <t>CIAC-Non Taxable -  Other Insurance Contmn Proceed</t>
  </si>
  <si>
    <t>CIAC-Non Taxable -  Non-Utility Property Property</t>
  </si>
  <si>
    <t>CIAC-Taxable - Mains SIT</t>
  </si>
  <si>
    <t>CIAC-Taxable - Services SIT</t>
  </si>
  <si>
    <t>CIAC-Taxable - Hydrants SIT</t>
  </si>
  <si>
    <t>CIAC-Taxable - Other SIT</t>
  </si>
  <si>
    <t>CIAC-Taxable - WIP SIT</t>
  </si>
  <si>
    <t>CIAC-Taxable - Mains FIT</t>
  </si>
  <si>
    <t>CIAC-Taxable - Services FIT</t>
  </si>
  <si>
    <t>CIAC-Taxable - Meters FIT</t>
  </si>
  <si>
    <t>CIAC-Taxable - Hydrants FIT</t>
  </si>
  <si>
    <t>CIAC-Taxable - Other FIT</t>
  </si>
  <si>
    <t>Accum Amort CIAC - Mains</t>
  </si>
  <si>
    <t>Accum Amort CIAC - Services</t>
  </si>
  <si>
    <t>Accum Amort CIAC - Meters</t>
  </si>
  <si>
    <t>Accum Amort CIAC - Hydrants</t>
  </si>
  <si>
    <t>999 Line JE Clearing</t>
  </si>
  <si>
    <t>Residential Sales Billed</t>
  </si>
  <si>
    <t>Residential Sales Billed - Discount</t>
  </si>
  <si>
    <t>Residential Sales Billed Surcharge</t>
  </si>
  <si>
    <t>Residential Sales Billed Surcharge - Clearing</t>
  </si>
  <si>
    <t>Residential Sales Billed DSIC</t>
  </si>
  <si>
    <t>Residential Sales Billed Unmetered</t>
  </si>
  <si>
    <t>Residential Sales Unbilled</t>
  </si>
  <si>
    <t>Commercial Sales Billed</t>
  </si>
  <si>
    <t>Commercial Sales Billed Surcharge</t>
  </si>
  <si>
    <t>Commercial Sales Billed DSIC</t>
  </si>
  <si>
    <t>Commercial Sales Billed Unmetered</t>
  </si>
  <si>
    <t>Commercial Sales Unbilled</t>
  </si>
  <si>
    <t>Industrial Sales Billed</t>
  </si>
  <si>
    <t>Industrial Sales Billed Surcharge</t>
  </si>
  <si>
    <t>Industrial Sales Billed DSIC</t>
  </si>
  <si>
    <t>Industiral Sales Unbilled</t>
  </si>
  <si>
    <t>Accrued Revenue Stabilization</t>
  </si>
  <si>
    <t>Accrued Property Tax Rev Stblztn</t>
  </si>
  <si>
    <t>Public Fire Billed</t>
  </si>
  <si>
    <t>Public Fire Billed Surcharge</t>
  </si>
  <si>
    <t>Public Fire Billed DSIC</t>
  </si>
  <si>
    <t>Public Fire Unbilled</t>
  </si>
  <si>
    <t>Private Fire Billed</t>
  </si>
  <si>
    <t>Private Fire Billed Surcharge</t>
  </si>
  <si>
    <t>Private Fire Billed DSIC</t>
  </si>
  <si>
    <t>Private Fire Unbilled</t>
  </si>
  <si>
    <t>Public Authority Billed</t>
  </si>
  <si>
    <t>Public Authority Billed Surcharge</t>
  </si>
  <si>
    <t>Public Authority Billed DSIC</t>
  </si>
  <si>
    <t>Public Authority Unbilled</t>
  </si>
  <si>
    <t>Sales for Resale Billed</t>
  </si>
  <si>
    <t>Sales for Resale Billed Interco</t>
  </si>
  <si>
    <t>Sales for Resale Billed Surcharge</t>
  </si>
  <si>
    <t>Sales for Resale Billed DSIC</t>
  </si>
  <si>
    <t>Sales for Resale Billed DSIC Interco</t>
  </si>
  <si>
    <t>Sales for Resale Unbilled</t>
  </si>
  <si>
    <t>Misc Sales Billed</t>
  </si>
  <si>
    <t>Misc Sales Billed Surcharge</t>
  </si>
  <si>
    <t>Misc Sales Billed Unmetered</t>
  </si>
  <si>
    <t>Misc Sales Unbilled</t>
  </si>
  <si>
    <t>Misc Sales ORCOM Errors</t>
  </si>
  <si>
    <t>Other Water Revenue - Temp Service</t>
  </si>
  <si>
    <t>Other Water Revenue - Conservation</t>
  </si>
  <si>
    <t>Other Water Revenue - Amort Def CIAC</t>
  </si>
  <si>
    <t>Other Water Revenue</t>
  </si>
  <si>
    <t>Domestic WW Service Billed</t>
  </si>
  <si>
    <t>Domestic WW Service Billed Bimonthly</t>
  </si>
  <si>
    <t>Domestic WW Service Billed Surcharge</t>
  </si>
  <si>
    <t>Domestic WW Service Billed DSIC</t>
  </si>
  <si>
    <t>Domestic WW Service Billed CGCR</t>
  </si>
  <si>
    <t>Domestic WW Service Unbilled</t>
  </si>
  <si>
    <t>Commerical WW Service Billed</t>
  </si>
  <si>
    <t>Commerical WW Service Billed Surcharge</t>
  </si>
  <si>
    <t>Commerical WW Service Billed CGCR</t>
  </si>
  <si>
    <t>Commercial WW Service Unbilled</t>
  </si>
  <si>
    <t>Industrial WW Service Billed</t>
  </si>
  <si>
    <t>Industrial WW Service Billed Surcharge</t>
  </si>
  <si>
    <t>Industrial WW Service Billed CGCR</t>
  </si>
  <si>
    <t>Industrial WW Service Unbilled</t>
  </si>
  <si>
    <t>Public Authority WW Service Billed</t>
  </si>
  <si>
    <t>Public Authority WW Service Billed Surcharge</t>
  </si>
  <si>
    <t>Public Authority WW Service Billed CGCR</t>
  </si>
  <si>
    <t>Public Authority WW Service Unbilled</t>
  </si>
  <si>
    <t>Misc WW Service Billed</t>
  </si>
  <si>
    <t>Misc WW Service Billed CGCR</t>
  </si>
  <si>
    <t>Misc WW Service Unbilled</t>
  </si>
  <si>
    <t>Other Revenue WW - Guaranteed</t>
  </si>
  <si>
    <t>Other Revenue WW - Intercompany</t>
  </si>
  <si>
    <t>Other Revenue - Interco</t>
  </si>
  <si>
    <t>Other Revenue - Guaranteed</t>
  </si>
  <si>
    <t>Other Revenue - Late Payment Charge</t>
  </si>
  <si>
    <t>Other Revenue - Rent</t>
  </si>
  <si>
    <t>Other Revenue - Rent Interco</t>
  </si>
  <si>
    <t>Other Revenue - Collection for Others</t>
  </si>
  <si>
    <t>Other Revenue - NSF Check Charge</t>
  </si>
  <si>
    <t>Other Revenue - Application/Initiation Fee</t>
  </si>
  <si>
    <t>Other Revenue - Usage Data</t>
  </si>
  <si>
    <t>Other Revenue - Reconnection Fee</t>
  </si>
  <si>
    <t>Other Revenue - Frozen Meter</t>
  </si>
  <si>
    <t>Other Revenue - CFO - CA PUC Surcharge</t>
  </si>
  <si>
    <t>Other Revenue - Storage Fees</t>
  </si>
  <si>
    <t>Other Revenue - After Hrs Charge</t>
  </si>
  <si>
    <t>Other Revenue - Misc Service</t>
  </si>
  <si>
    <t>Other Revenue WW - Late Payment Charge</t>
  </si>
  <si>
    <t>Other Revenue WW - Misc Service</t>
  </si>
  <si>
    <t>Revenue Conversion - CIS</t>
  </si>
  <si>
    <t>Service Company Revenue OPEX Interco</t>
  </si>
  <si>
    <t>Service Company Revenue CAPEX Interco</t>
  </si>
  <si>
    <t>Servco Company Revenue Market Based COs Interco</t>
  </si>
  <si>
    <t>Labor Natural Account</t>
  </si>
  <si>
    <t>Labor Expense Accrual</t>
  </si>
  <si>
    <t>Labor Expense - Intercompany</t>
  </si>
  <si>
    <t>Labor Oper Source of Supply</t>
  </si>
  <si>
    <t>Labor Oper Source of Supply - Super &amp; Eng</t>
  </si>
  <si>
    <t>Labor Oper Pumping</t>
  </si>
  <si>
    <t>Labor Oper Pumping - Super &amp; Eng</t>
  </si>
  <si>
    <t>Labor Oper Pumping - Power Prod</t>
  </si>
  <si>
    <t>Labor Oper Pumping - Pump</t>
  </si>
  <si>
    <t>Labor Oper Water Treatment</t>
  </si>
  <si>
    <t>Labor Oper Water Treatment - Super &amp; Eng</t>
  </si>
  <si>
    <t>Labor Oper Transmission &amp; Distribution</t>
  </si>
  <si>
    <t>Labor Oper Trans &amp; Distr - Super &amp; Eng</t>
  </si>
  <si>
    <t>Labor Oper Trans &amp; Distr - Storage Facility</t>
  </si>
  <si>
    <t>Labor Oper Trans &amp; Distr - Lines</t>
  </si>
  <si>
    <t>Labor Oper Trans &amp; Distr - Meter</t>
  </si>
  <si>
    <t>Labor Oper Trans &amp; Distr - Meter Install</t>
  </si>
  <si>
    <t>Labor Oper Customer Accounting</t>
  </si>
  <si>
    <t>Labor Oper Customer Acctg - Super &amp; Eng</t>
  </si>
  <si>
    <t>Labor Oper Customer Acctg - Meter Read</t>
  </si>
  <si>
    <t>Labor Oper Customer Acctg - Cust Rec &amp; Coll</t>
  </si>
  <si>
    <t>Labor Oper Customer Acctg - Cust Serv &amp; Info</t>
  </si>
  <si>
    <t>Labor Oper Admin &amp; General</t>
  </si>
  <si>
    <t>Labor Oper Adm &amp; Gen - Director &amp; Officer</t>
  </si>
  <si>
    <t>Labor Maint Source of Supply</t>
  </si>
  <si>
    <t>Labor Maint Source of Supply - Super &amp; Eng</t>
  </si>
  <si>
    <t>Labor Maint Source of Supply - Struct &amp;Imp</t>
  </si>
  <si>
    <t>Labor Maint Source of Supply - Coll &amp; Imp</t>
  </si>
  <si>
    <t>Labor Maint Source of Supply - Lake</t>
  </si>
  <si>
    <t>Labor Maint Source of Supply - Wells</t>
  </si>
  <si>
    <t>Labor Maint Src of Supply-Infilt Galleries</t>
  </si>
  <si>
    <t>Labor Maint Src of Supply-Supply Mains</t>
  </si>
  <si>
    <t>Labor Maint Pumping</t>
  </si>
  <si>
    <t>Labor Maint Pumping - Super &amp; Eng</t>
  </si>
  <si>
    <t>Labor Maint Pumping - Struct &amp; Imp</t>
  </si>
  <si>
    <t>Labor Maint Pumping - Power Prod</t>
  </si>
  <si>
    <t>Labor Maint Water Treatment</t>
  </si>
  <si>
    <t>Labor Maint Water Treatment - Super &amp; Eng</t>
  </si>
  <si>
    <t>Labor Maint Water Treatment - Struct &amp; Imp</t>
  </si>
  <si>
    <t>Labor Maint Water Treatment - Equipment</t>
  </si>
  <si>
    <t>Labor Maint Transmission &amp; Distribution</t>
  </si>
  <si>
    <t>Labor Maint Transmssn &amp; Distr - Super &amp; Eng</t>
  </si>
  <si>
    <t>Labor Maint Transmssn &amp; Distr - Struct &amp; Imp</t>
  </si>
  <si>
    <t>Labor Maint Transmssn &amp; Distr - Dist Res</t>
  </si>
  <si>
    <t>Labor Maint Transmssn &amp; Distr - Mains</t>
  </si>
  <si>
    <t>Labor Maint Transmssn &amp; Distr - Fire Mains</t>
  </si>
  <si>
    <t>Labor Maint Transmssn &amp; Distr - Service</t>
  </si>
  <si>
    <t>Labor Maint Transmssn &amp; Distr - Meter</t>
  </si>
  <si>
    <t>Labor Maint Transmssn &amp; Distr - Hydrants</t>
  </si>
  <si>
    <t>Labor Maint Admin &amp; General</t>
  </si>
  <si>
    <t>Labor Capitalized Credits</t>
  </si>
  <si>
    <t>Labor Non-scheduled Overtime - Natural Account</t>
  </si>
  <si>
    <t>Labor Oper Non-scheduled Overtime- SS</t>
  </si>
  <si>
    <t>Labor Oper Non-scheduled Overtime- SS Super &amp; Eng</t>
  </si>
  <si>
    <t>Labor Oper Non-scheduled Overtime- P</t>
  </si>
  <si>
    <t>Labor Oper Non-scheduled Overtime- P Super &amp; Eng</t>
  </si>
  <si>
    <t>Labor Oper Non-scheduled Overtime- P Power Prod</t>
  </si>
  <si>
    <t>Labor Oper Non-scheduled Overtime- P Pump</t>
  </si>
  <si>
    <t>Labor Oper Non-scheduled Overtime- WT</t>
  </si>
  <si>
    <t>Labor Oper Non-scheduled Overtime- WT Super &amp; Eng</t>
  </si>
  <si>
    <t>Labor Oper Non-scheduled Overtime- TD</t>
  </si>
  <si>
    <t>Labor Oper Non-scheduled Overtime- TD Super &amp; Eng</t>
  </si>
  <si>
    <t>Labor Oper Non-scheduled OT-TD Storage Facility</t>
  </si>
  <si>
    <t>Labor Oper Non-scheduled Overtime- TD Lines</t>
  </si>
  <si>
    <t>Labor Oper Non-scheduled Overtime- TD Meter</t>
  </si>
  <si>
    <t>Labor Oper Non-scheduled OT-TD Meter Install</t>
  </si>
  <si>
    <t>Labor Oper Non-scheduled Overtime- CA</t>
  </si>
  <si>
    <t>Labor Oper Non-scheduled Overtime- CA Super &amp; Eng</t>
  </si>
  <si>
    <t>Labor Oper Non-scheduled Overtime- CA Meter Read</t>
  </si>
  <si>
    <t>Labor Oper Non-scheduled OT - CA Cust Rec &amp; Coll</t>
  </si>
  <si>
    <t>Labor Oper Non-scheduled OT - CA Cust Serv &amp; Info</t>
  </si>
  <si>
    <t>Labor Oper Non-scheduled Overtime- AG</t>
  </si>
  <si>
    <t>Labor Maint Non-scheduled Overtime- SS</t>
  </si>
  <si>
    <t>Labor Maint Non-scheduled Overtime- SS Super &amp; Eng</t>
  </si>
  <si>
    <t>Labor Maint Non-scheduled OT - SS Struct &amp; Imp</t>
  </si>
  <si>
    <t>Labor Maint Non-scheduled Overtime- SS Coll &amp; Imp</t>
  </si>
  <si>
    <t>Labor Maint Non-scheduled Overtime- SS Lake</t>
  </si>
  <si>
    <t>Labor Maint Non-scheduled Overtime- SS Wells</t>
  </si>
  <si>
    <t>Labor Maint Non-scheduled OT - SS Infilt Gallery</t>
  </si>
  <si>
    <t>Labor Maint Non-scheduled OT - SS Supply Mains</t>
  </si>
  <si>
    <t>Labor Maint Non-scheduled Overtime- P</t>
  </si>
  <si>
    <t>Labor Maint Non-scheduled Overtime- P Super &amp; Eng</t>
  </si>
  <si>
    <t>Labor Maint Non-scheduled Overtime- P Struct &amp; Imp</t>
  </si>
  <si>
    <t>Labor Maint Non-scheduled Overtime- P Power Prod</t>
  </si>
  <si>
    <t>Labor Maint Non-scheduled Overtime- WT</t>
  </si>
  <si>
    <t>Labor Maint Non-scheduled Overtime- WT Super &amp; Eng</t>
  </si>
  <si>
    <t>Labor Maint Non-scheduled OT - WT Struct &amp; Imp</t>
  </si>
  <si>
    <t>Labor Maint Non-scheduled Overtime- WT Equipment</t>
  </si>
  <si>
    <t>Labor Maint Non-scheduled Overtime- TD</t>
  </si>
  <si>
    <t>Labor Maint Non-scheduled Overtime- TD Super &amp; Eng</t>
  </si>
  <si>
    <t>Labor Maint Non-scheduled OT - TD Struct &amp; Imp</t>
  </si>
  <si>
    <t>Labor Maint Non-scheduled Overtime- TD Dist Res</t>
  </si>
  <si>
    <t>Labor Maint Non-scheduled Overtime- TD Mains</t>
  </si>
  <si>
    <t>Labor Maint Non-scheduled Overtime- TD Fire Main</t>
  </si>
  <si>
    <t>Labor Maint Non-scheduled Overtime- TD Service</t>
  </si>
  <si>
    <t>Labor Maint Non-scheduled Overtime- TD Meter</t>
  </si>
  <si>
    <t>Labor Maint Non-scheduled Overtime- TD Hydrant</t>
  </si>
  <si>
    <t>Labor Maint Non-scheduled Overtime- AG</t>
  </si>
  <si>
    <t>Labor Non-scheduled Overtime- Capitalized Credits</t>
  </si>
  <si>
    <t>Labor Overtime - Natural Account</t>
  </si>
  <si>
    <t>Labor Oper Scheduled Overtime-SS</t>
  </si>
  <si>
    <t>Labor Oper Scheduled Overtime-SS Super &amp; Eng</t>
  </si>
  <si>
    <t>Labor Oper Scheduled Overtime-P</t>
  </si>
  <si>
    <t>Labor Oper Scheduled Overtime-P Super &amp; Eng</t>
  </si>
  <si>
    <t>Labor Oper Scheduled Overtime-P Power Prod</t>
  </si>
  <si>
    <t>Labor Oper Scheduled Overtime-P Pump</t>
  </si>
  <si>
    <t>Labor Oper Scheduled Overtime-WT</t>
  </si>
  <si>
    <t>Labor Oper Scheduled Overtime-WT Super &amp; Eng</t>
  </si>
  <si>
    <t>Labor Oper Scheduled Overtime-TD</t>
  </si>
  <si>
    <t>Labor Oper Scheduled Overtime-TD Super &amp; Eng</t>
  </si>
  <si>
    <t>Labor Oper Scheduled Overtime-TD Storage Facility</t>
  </si>
  <si>
    <t>Labor Oper Scheduled Overtime-TD Lines</t>
  </si>
  <si>
    <t>Labor Oper Scheduled Overtime-TD Meter</t>
  </si>
  <si>
    <t>Labor Oper Scheduled Overtime-TD Meter Install</t>
  </si>
  <si>
    <t>Labor Oper Scheduled Overtime-CA</t>
  </si>
  <si>
    <t>Labor Oper Scheduled Overtime-CA Super &amp; Eng</t>
  </si>
  <si>
    <t>Labor Oper Scheduled Overtime-CA Merer Read</t>
  </si>
  <si>
    <t>Labor Oper Scheduled Overtime-CA Cust Rec &amp; Coll</t>
  </si>
  <si>
    <t>Labor Oper Scheduled Overtime-CA Cust Serv &amp; Info</t>
  </si>
  <si>
    <t>Labor Oper Scheduled Overtime-AG</t>
  </si>
  <si>
    <t>Labor Maint Scheduled Overtime-SS</t>
  </si>
  <si>
    <t>Labor Maint Scheduled Overtime-SS Super &amp; Eng</t>
  </si>
  <si>
    <t>Labor Maint Scheduled Overtime-SS Struct &amp; Imp</t>
  </si>
  <si>
    <t>Labor Maint Scheduled Overtime-SS Coll &amp; Imp</t>
  </si>
  <si>
    <t>Labor Maint Scheduled Overtime-SS Lake</t>
  </si>
  <si>
    <t>Labor Maint Scheduled Overtime-SS Wells</t>
  </si>
  <si>
    <t>Labor Maint Scheduled Overtime-SS Infilt Gallery</t>
  </si>
  <si>
    <t>Labor Maint Scheduled Overtime-SS Supply Main</t>
  </si>
  <si>
    <t>Labor Maint Scheduled Overtime-P</t>
  </si>
  <si>
    <t>Labor Maint Scheduled Overtime-P Super &amp; Eng</t>
  </si>
  <si>
    <t>Labor Maint Scheduled Overtime-P Struct &amp; Imp</t>
  </si>
  <si>
    <t>Labor Maint Scheduled Overtime-P Power Prod</t>
  </si>
  <si>
    <t>Labor Maint Scheduled Overtime-WT</t>
  </si>
  <si>
    <t>Labor Maint Scheduled Overtime-WT Super &amp; Eng</t>
  </si>
  <si>
    <t>Labor Maint Scheduled Overtime-WT Struct &amp; Imp</t>
  </si>
  <si>
    <t>Labor Maint Scheduled Overtime-WT Equipment</t>
  </si>
  <si>
    <t>Labor Maint Scheduled Overtime-TD</t>
  </si>
  <si>
    <t>Labor Maint Scheduled Overtime-TD Super &amp; Eng</t>
  </si>
  <si>
    <t>Labor Maint Scheduled Overtime-TD Struct &amp; Imp</t>
  </si>
  <si>
    <t>Labor Maint Scheduled Overtime-TD Dist Res</t>
  </si>
  <si>
    <t>Labor Maint Scheduled Overtime-TD Mains</t>
  </si>
  <si>
    <t>Labor Maint Scheduled Overtime-TD Fire Main</t>
  </si>
  <si>
    <t>Labor Maint Scheduled Overtime-TD Service</t>
  </si>
  <si>
    <t>Labor Maint Scheduled Overtime-TD Meter</t>
  </si>
  <si>
    <t>Labor Maint Scheduled Overtime-TD Hydrant</t>
  </si>
  <si>
    <t>Labor Maint Scheduled Overtime-AG</t>
  </si>
  <si>
    <t>Labor Scheduled Overtime- Capitalized Credits</t>
  </si>
  <si>
    <t>Annual Incentive Plan</t>
  </si>
  <si>
    <t>Annual Incentive Plan Cap Credits</t>
  </si>
  <si>
    <t>Compensation Exp - Options</t>
  </si>
  <si>
    <t>Compensation Exp - RSU's</t>
  </si>
  <si>
    <t>Severance</t>
  </si>
  <si>
    <t>401k Expense</t>
  </si>
  <si>
    <t>401k Expense Cap Credits</t>
  </si>
  <si>
    <t>Defined Compensation Plan Expense</t>
  </si>
  <si>
    <t>Defined Comp Plan Exp Cap Credits</t>
  </si>
  <si>
    <t>Employee Stock Purchase Plan Expense</t>
  </si>
  <si>
    <t>DC SERP Expense</t>
  </si>
  <si>
    <t>401k Restoration Expense</t>
  </si>
  <si>
    <t>Retiree Medical Expense</t>
  </si>
  <si>
    <t>Retiree Medical Expense Cap Credits</t>
  </si>
  <si>
    <t>FAS 112 Amortization</t>
  </si>
  <si>
    <t>Other Welfare - Natural Account</t>
  </si>
  <si>
    <t>Other Welfare - Source of Supply</t>
  </si>
  <si>
    <t>Other Welfare - Pumping</t>
  </si>
  <si>
    <t>Other Welfare - Water Treatment</t>
  </si>
  <si>
    <t>Other Welfare - Transm &amp; Distrib</t>
  </si>
  <si>
    <t>Other Welfare - Customer Accounting</t>
  </si>
  <si>
    <t>Other Welfare - Admin &amp; General</t>
  </si>
  <si>
    <t>Employee Awards</t>
  </si>
  <si>
    <t>Employee Physical Exams</t>
  </si>
  <si>
    <t>Safety Incentive Awards</t>
  </si>
  <si>
    <t>Tuition Aid</t>
  </si>
  <si>
    <t>Training</t>
  </si>
  <si>
    <t>Referral Bonus</t>
  </si>
  <si>
    <t>PBOP Expense</t>
  </si>
  <si>
    <t>PBOP Capitalized Credits</t>
  </si>
  <si>
    <t>Group Insurance Expense</t>
  </si>
  <si>
    <t>Group Insurance Capitalized Credits</t>
  </si>
  <si>
    <t>Pension Expense</t>
  </si>
  <si>
    <t>Pension Capitalized Credits</t>
  </si>
  <si>
    <t>Pension Expense - SRP</t>
  </si>
  <si>
    <t>Pension Expense - SERP</t>
  </si>
  <si>
    <t>PWAC Differential</t>
  </si>
  <si>
    <t>Purchased Water Interco</t>
  </si>
  <si>
    <t>Diversion Rights</t>
  </si>
  <si>
    <t>PSTAC Differential</t>
  </si>
  <si>
    <t>PSTAC Amortization</t>
  </si>
  <si>
    <t>Waste Disposal Interco</t>
  </si>
  <si>
    <t>Amort Waste Disposal</t>
  </si>
  <si>
    <t>Purchased Power - Natural Account</t>
  </si>
  <si>
    <t>Purchased Power - Source of Supply</t>
  </si>
  <si>
    <t>Purchased Power - Pumping</t>
  </si>
  <si>
    <t>Purchased Power - Water Treatment</t>
  </si>
  <si>
    <t>Purchased Power - Transmission &amp; Distribution</t>
  </si>
  <si>
    <t>Purchased Power - Customer Accounting</t>
  </si>
  <si>
    <t>Purchased Power - Admin &amp; General</t>
  </si>
  <si>
    <t>Purchased Power Balancing Account</t>
  </si>
  <si>
    <t>Chemicals Carbon Interco</t>
  </si>
  <si>
    <t>M &amp; S  (O&amp;M) - Natural Account</t>
  </si>
  <si>
    <t>M &amp; S Oper - Source of Supply</t>
  </si>
  <si>
    <t>M &amp; S Oper - Pumping</t>
  </si>
  <si>
    <t>M &amp; S Oper - Water Treatment</t>
  </si>
  <si>
    <t>M &amp; S Oper - Transmission &amp; Distribution</t>
  </si>
  <si>
    <t>M &amp; S Oper - Customer Accounting</t>
  </si>
  <si>
    <t>M &amp; S Oper - Admin &amp; General</t>
  </si>
  <si>
    <t>Misc Exp (O&amp;M) - Natural Acct</t>
  </si>
  <si>
    <t>Misc Oper - Source of Supply</t>
  </si>
  <si>
    <t>Misc Oper - Pumping</t>
  </si>
  <si>
    <t>Misc Oper - Water Treatment</t>
  </si>
  <si>
    <t>Misc Oper - Transmission &amp; Distribution</t>
  </si>
  <si>
    <t>Misc Oper - Transmission &amp; Distribution Storage</t>
  </si>
  <si>
    <t>Misc Oper - Transmission &amp; Distribution Mains</t>
  </si>
  <si>
    <t>Misc Oper - Transmission &amp; Distribution Meters</t>
  </si>
  <si>
    <t>Misc Oper - Transmssn &amp; Distr Meter Install</t>
  </si>
  <si>
    <t>Misc Oper - Customer Accounting</t>
  </si>
  <si>
    <t>Misc Oper - Customer Accounting Mtr Read</t>
  </si>
  <si>
    <t>Misc Oper - Customer Accounting Cust Rec</t>
  </si>
  <si>
    <t>Misc Oper - Customer Accounting Cust Serv</t>
  </si>
  <si>
    <t>Misc Oper - Admin &amp; General</t>
  </si>
  <si>
    <t>Bank Service Charges - Natural Account</t>
  </si>
  <si>
    <t>Bank Service Charges - Customer Accounting</t>
  </si>
  <si>
    <t>Bank Service Charges - Admin &amp; General</t>
  </si>
  <si>
    <t>Books &amp; Publications</t>
  </si>
  <si>
    <t>Business Development</t>
  </si>
  <si>
    <t>Charitable Contribution Deductible</t>
  </si>
  <si>
    <t>Charitable Contribution Nondeductible</t>
  </si>
  <si>
    <t>Charitable Donations - Health/Education/Environmnt</t>
  </si>
  <si>
    <t>Charitable Donations - Community</t>
  </si>
  <si>
    <t>Community Partnerships</t>
  </si>
  <si>
    <t>Community Commercial Initiatives</t>
  </si>
  <si>
    <t>Customer Education</t>
  </si>
  <si>
    <t>Customer Education Communication - Reg</t>
  </si>
  <si>
    <t>Customer Education Communication - Third Party</t>
  </si>
  <si>
    <t>Customer Education Communication - Issues</t>
  </si>
  <si>
    <t>Customer Education Communication - Conservation</t>
  </si>
  <si>
    <t>Customer Education Communication - Printed</t>
  </si>
  <si>
    <t>Customer Education - Bill Inserts</t>
  </si>
  <si>
    <t>Customer Education - Press Releases</t>
  </si>
  <si>
    <t>Customer Education - Media Editorial</t>
  </si>
  <si>
    <t>Customer Education - Video &amp; Photo</t>
  </si>
  <si>
    <t>Customer Education - Online Development/Production</t>
  </si>
  <si>
    <t>Community Relations - Events</t>
  </si>
  <si>
    <t>Community Relations - Specialty</t>
  </si>
  <si>
    <t>Collection Agencies</t>
  </si>
  <si>
    <t>Community Relations</t>
  </si>
  <si>
    <t>Co Dues/Membership Deductible</t>
  </si>
  <si>
    <t>Condemnation Costs</t>
  </si>
  <si>
    <t>Conservation Expense</t>
  </si>
  <si>
    <t>Credit Line Fees</t>
  </si>
  <si>
    <t>Credit Line Fees Interco</t>
  </si>
  <si>
    <t>Directors Fees</t>
  </si>
  <si>
    <t>Directors Expenses</t>
  </si>
  <si>
    <t>Electricity - Natural Account</t>
  </si>
  <si>
    <t>Electricity - Source of Supply</t>
  </si>
  <si>
    <t>Electricity - Water Treatment</t>
  </si>
  <si>
    <t>Electricity - Transmission &amp; Distribution</t>
  </si>
  <si>
    <t>Electricity - Customer Accounting</t>
  </si>
  <si>
    <t>Electricity - Admin &amp; General</t>
  </si>
  <si>
    <t>Employee Expenses</t>
  </si>
  <si>
    <t>Conferences &amp; Registration</t>
  </si>
  <si>
    <t>Meals Deductible</t>
  </si>
  <si>
    <t>Meals Non-Deductible</t>
  </si>
  <si>
    <t>Amort Bus Services Proj Exp</t>
  </si>
  <si>
    <t>Forms - Natural Account</t>
  </si>
  <si>
    <t>Forms - Customer Accounting</t>
  </si>
  <si>
    <t>Forms - Admin &amp; General</t>
  </si>
  <si>
    <t>Grounds Keeping - Natural Account</t>
  </si>
  <si>
    <t>Grounds Keeping - Source of Supply</t>
  </si>
  <si>
    <t>Grounds Keeping - Water Treatment</t>
  </si>
  <si>
    <t>Grounds Keeping - Transmission &amp; Distribution</t>
  </si>
  <si>
    <t>Grounds Keeping - Admin &amp; General</t>
  </si>
  <si>
    <t>Heating Oil/Gas - Natural Account</t>
  </si>
  <si>
    <t>Heating Oil/Gas - Source of Supply</t>
  </si>
  <si>
    <t>Heating Oil/Gas - Water Treatment</t>
  </si>
  <si>
    <t>Heating Oil/Gas - Transmission &amp; Distribution</t>
  </si>
  <si>
    <t>Heating Oil/Gas - Customer Accounting</t>
  </si>
  <si>
    <t>Heating Oil/Gas - Admin &amp; General</t>
  </si>
  <si>
    <t>Hiring Costs</t>
  </si>
  <si>
    <t>Injuries and Damages</t>
  </si>
  <si>
    <t>Inventory Physical Write-off Scrap</t>
  </si>
  <si>
    <t>Janitorial - Natural Account</t>
  </si>
  <si>
    <t>Janitorial - Pumping</t>
  </si>
  <si>
    <t>Janitorial - Water Treatment</t>
  </si>
  <si>
    <t>Janitorial - Transmission &amp; Distribution</t>
  </si>
  <si>
    <t>Janitorial - Customer Accounting</t>
  </si>
  <si>
    <t>Janitorial - Admin &amp; General</t>
  </si>
  <si>
    <t>Lab Supplies</t>
  </si>
  <si>
    <t>Lobbying Expenses</t>
  </si>
  <si>
    <t>Low Income Pay Program</t>
  </si>
  <si>
    <t>Office &amp; Admin Supplies - Natural Account</t>
  </si>
  <si>
    <t>Office &amp; Admin Supplies - Source of Supply</t>
  </si>
  <si>
    <t>Office &amp; Admin Supplies - Water Treatment</t>
  </si>
  <si>
    <t>Office &amp; Admin Supplies - Transmssn &amp; Distr</t>
  </si>
  <si>
    <t>Office &amp; Admin Supplies - Customer Accounting</t>
  </si>
  <si>
    <t>Office &amp; Admin Supplies - Admin &amp; General</t>
  </si>
  <si>
    <t>Overnight Shipping - Natural Account</t>
  </si>
  <si>
    <t>Overnight Shipping - Source of Supply</t>
  </si>
  <si>
    <t>Overnight Shipping - Water Treatment</t>
  </si>
  <si>
    <t>Overnight Shipping - Transmission &amp; Distribution</t>
  </si>
  <si>
    <t>Overnight Shipping - Customer Accounting</t>
  </si>
  <si>
    <t>Overnight Shipping - Admin &amp; General</t>
  </si>
  <si>
    <t>Penalties Nondeductible</t>
  </si>
  <si>
    <t>Postage - Natural Account</t>
  </si>
  <si>
    <t>Postage - Customer Accounting</t>
  </si>
  <si>
    <t>Postage - Admin &amp; General</t>
  </si>
  <si>
    <t>Printing</t>
  </si>
  <si>
    <t>Relocation Expenses</t>
  </si>
  <si>
    <t>Research &amp; Development</t>
  </si>
  <si>
    <t>Security Service - Natural Account</t>
  </si>
  <si>
    <t>Security Service - Source of Supply</t>
  </si>
  <si>
    <t>Security Service - Water Treatment</t>
  </si>
  <si>
    <t>Security Service - Transmission &amp; Distribution</t>
  </si>
  <si>
    <t>Security Service - Customer Accounting</t>
  </si>
  <si>
    <t>Security Service - Admin &amp; General</t>
  </si>
  <si>
    <t>Add'l Security Costs</t>
  </si>
  <si>
    <t>Software Licenses</t>
  </si>
  <si>
    <t>Telemetering - Source of Supply</t>
  </si>
  <si>
    <t>Telephone - Natural Account</t>
  </si>
  <si>
    <t>Telephone - Source of Supply</t>
  </si>
  <si>
    <t>Telephone - Water Treatment</t>
  </si>
  <si>
    <t>Telephone - Transmission &amp; Distribution</t>
  </si>
  <si>
    <t>Telephone - Customer Accounting</t>
  </si>
  <si>
    <t>Telephone - Admin &amp; General</t>
  </si>
  <si>
    <t>Cell Phone - Natural Account</t>
  </si>
  <si>
    <t>Cell Phone - Source of Supply</t>
  </si>
  <si>
    <t>Cell Phone - Water Treatment</t>
  </si>
  <si>
    <t>Cell Phone - Transmission &amp; Distribution</t>
  </si>
  <si>
    <t>Cell Phone - Customer Accounting</t>
  </si>
  <si>
    <t>Cell Phone - Admin &amp; General</t>
  </si>
  <si>
    <t>Data Lines - Admin &amp; General</t>
  </si>
  <si>
    <t>Wireless - Service First - Natural Account</t>
  </si>
  <si>
    <t>Wireless - Service First-Transmission&amp;Distribution</t>
  </si>
  <si>
    <t>Wireless - Service First - Customer Accounting</t>
  </si>
  <si>
    <t>Wireless - Service First - Admin &amp; General</t>
  </si>
  <si>
    <t>Trade Shows</t>
  </si>
  <si>
    <t>Trash Removal - Natural Account</t>
  </si>
  <si>
    <t>Trash Removal - Source of Supply</t>
  </si>
  <si>
    <t>Trash Removal - Water Treatment</t>
  </si>
  <si>
    <t>Trash Removal - Transmission &amp; Distribution</t>
  </si>
  <si>
    <t>Trash Removal - Customer Accounting</t>
  </si>
  <si>
    <t>Trash Removal - Admin &amp; General</t>
  </si>
  <si>
    <t>Trustee Fees</t>
  </si>
  <si>
    <t>Uniforms - Natural Account</t>
  </si>
  <si>
    <t>Uniforms - Source of Supply</t>
  </si>
  <si>
    <t>Uniforms - Pumping</t>
  </si>
  <si>
    <t>Uniforms - Water Treatment</t>
  </si>
  <si>
    <t>Uniforms - Transmission &amp; Distribution</t>
  </si>
  <si>
    <t>Uniforms - Customer Accounting</t>
  </si>
  <si>
    <t>Uniforms - Admin &amp; General</t>
  </si>
  <si>
    <t>Water &amp; WW - Natural Account</t>
  </si>
  <si>
    <t>Water &amp; WW - Source of Supply</t>
  </si>
  <si>
    <t>Water &amp; WW - Water Treatment</t>
  </si>
  <si>
    <t>Water &amp; WW - Transmission &amp; Distribution</t>
  </si>
  <si>
    <t>Water &amp; WW - Admin &amp; General</t>
  </si>
  <si>
    <t>Discounts Available</t>
  </si>
  <si>
    <t>Discounts Lost</t>
  </si>
  <si>
    <t>PO Small Price Differences - within tolerance</t>
  </si>
  <si>
    <t>PCard Undistributed</t>
  </si>
  <si>
    <t>Capital Purchases Clearing</t>
  </si>
  <si>
    <t>Indirect Overhead Clearing</t>
  </si>
  <si>
    <t>Capital Accrual Clearing</t>
  </si>
  <si>
    <t>Dev Funded Const Clearing</t>
  </si>
  <si>
    <t>Budget COR Clearing</t>
  </si>
  <si>
    <t>Indirect Overhead RWIP Clearing</t>
  </si>
  <si>
    <t>Contract Svc-Eng - Natural Account</t>
  </si>
  <si>
    <t>Contract Svc-Eng - Source of Supply</t>
  </si>
  <si>
    <t>Contract Svc-Eng - Water Treatment</t>
  </si>
  <si>
    <t>Contract Svc-Eng - Transmission &amp; Distribution</t>
  </si>
  <si>
    <t>Contract Svc-Eng - Customer Accounting</t>
  </si>
  <si>
    <t>Contract Svc-Eng - Admin &amp; General</t>
  </si>
  <si>
    <t>Contract Svc-Other - Natural Account</t>
  </si>
  <si>
    <t>Contract Svc-Other - Source of Supply</t>
  </si>
  <si>
    <t>Contract Svc-Other - Water Treatment</t>
  </si>
  <si>
    <t>Contract Svc-Other - Transmission &amp; Distribution</t>
  </si>
  <si>
    <t>Contract Svc-Other - Customer Accounting</t>
  </si>
  <si>
    <t>Contract Svc-Other - Admin &amp; General</t>
  </si>
  <si>
    <t>Contract Svc-Temp Empl - Natural Account</t>
  </si>
  <si>
    <t>Contract Svc-Temp Empl - Source of Supply</t>
  </si>
  <si>
    <t>Contract Svc-Temp Empl - Water Treatment</t>
  </si>
  <si>
    <t>Contract Svc-Temp Empl - Transmssn &amp; Distr</t>
  </si>
  <si>
    <t>Contract Svc-Temp Empl - Customer Accounting</t>
  </si>
  <si>
    <t>Contract Svc-Temp Empl - Admin &amp; General</t>
  </si>
  <si>
    <t>Contract Svc-Lab Testing - Water Treatment</t>
  </si>
  <si>
    <t>Contract Services - Audit Fees</t>
  </si>
  <si>
    <t>Contract Services - Litigation</t>
  </si>
  <si>
    <t>Contract Services - Outplacement</t>
  </si>
  <si>
    <t>Contract Services - BT Related Incr Ext Costs</t>
  </si>
  <si>
    <t>Contract Services - Interco</t>
  </si>
  <si>
    <t>AWWSC Services - Labor OPEX</t>
  </si>
  <si>
    <t>AWWSC Services - Pension OPEX</t>
  </si>
  <si>
    <t>AWWSC Services - Group Insurance OPEX</t>
  </si>
  <si>
    <t>AWWSC Services - Other Benefits OPEX</t>
  </si>
  <si>
    <t>AWWSC Services - Contracted Services OPEX</t>
  </si>
  <si>
    <t>AWWSC Services - Office Supplies OPEX</t>
  </si>
  <si>
    <t>AWWSC Services - Rents OPEX</t>
  </si>
  <si>
    <t>AWWSC Services - Maint Supplies &amp; Svcs OPEX</t>
  </si>
  <si>
    <t>AWWSC Services - Other O&amp;M Expense OPEX</t>
  </si>
  <si>
    <t>AWWSC Services - Depr &amp; Amort OPEX</t>
  </si>
  <si>
    <t>AWWSC Services - General Taxes OPEX</t>
  </si>
  <si>
    <t>AWWSC Services - Net Interest OPEX</t>
  </si>
  <si>
    <t>AWWSC Services - Other Inc &amp; Ded OPEX</t>
  </si>
  <si>
    <t>AWWSC Services - Income Taxes OPEX</t>
  </si>
  <si>
    <t>AWWSC Services - Conversion</t>
  </si>
  <si>
    <t>AWWSC Services - Labor CAPX</t>
  </si>
  <si>
    <t>AWWSC Services - Pension CAPX</t>
  </si>
  <si>
    <t>AWWSC Services - Group Insurance CAPX</t>
  </si>
  <si>
    <t>AWWSC Services - Other Benefits CAPX</t>
  </si>
  <si>
    <t>AWWSC Services - Contracted Services CAPX</t>
  </si>
  <si>
    <t>AWWSC Services - Office Supplies CAPX</t>
  </si>
  <si>
    <t>AWWSC Services - Rents CAPX</t>
  </si>
  <si>
    <t>AWWSC Services - Maint Supplies &amp; Svcs CAPX</t>
  </si>
  <si>
    <t>AWWSC Services - Other O&amp;M Expense CAPX</t>
  </si>
  <si>
    <t>AWWSC Services - Depr &amp; Amort CAPX</t>
  </si>
  <si>
    <t>AWWSC Services - General Taxes CAPX</t>
  </si>
  <si>
    <t>AWWSC Services - Net Interest CAPX</t>
  </si>
  <si>
    <t>AWWSC Services - Other Inc &amp; Ded CAPX</t>
  </si>
  <si>
    <t>AWWSC Services - Income Taxes CAPX</t>
  </si>
  <si>
    <t>Rents-Real Property - Natural Account</t>
  </si>
  <si>
    <t>Rents-Real Property - Source of Supply</t>
  </si>
  <si>
    <t>Rents-Real Property - Pumping</t>
  </si>
  <si>
    <t>Rents-Real Property - Water Treatment</t>
  </si>
  <si>
    <t>Rents-Real Property - Transmission &amp; Distribution</t>
  </si>
  <si>
    <t>Rents-Real Property - Customer Accounting</t>
  </si>
  <si>
    <t>Rents-Real Property - Admin &amp; General</t>
  </si>
  <si>
    <t>Rents-Real Property Interco</t>
  </si>
  <si>
    <t>Rents-Equipment - Natural Account</t>
  </si>
  <si>
    <t>Rents-Equipment - Source of Supply</t>
  </si>
  <si>
    <t>Rents-Equipment - Pumping</t>
  </si>
  <si>
    <t>Rents-Equipment - Water Treatment</t>
  </si>
  <si>
    <t>Rents-Equipment - Transmission &amp; Distribution</t>
  </si>
  <si>
    <t>Rents-Equipment - Customer Accounting</t>
  </si>
  <si>
    <t>Rents-Equipment - Admin &amp; General</t>
  </si>
  <si>
    <t>Rents-Equipment Intercompany</t>
  </si>
  <si>
    <t>Transportation (O&amp;M) - Natural Account</t>
  </si>
  <si>
    <t>Transportation Oper - Source of Supply</t>
  </si>
  <si>
    <t>Transportation Oper - Pumping</t>
  </si>
  <si>
    <t>Transportation Oper - Water Treatment</t>
  </si>
  <si>
    <t>Transportation Oper - Transmission &amp; Distribution</t>
  </si>
  <si>
    <t>Transportation Oper - Customer Accounting</t>
  </si>
  <si>
    <t>Transportation Oper - Admin &amp; General</t>
  </si>
  <si>
    <t>Transportation Maint - Source of Supply</t>
  </si>
  <si>
    <t>Transportation Maint - Pumping</t>
  </si>
  <si>
    <t>Transportation Maint - Water Treatment</t>
  </si>
  <si>
    <t>Transportation Maint - Transmission &amp; Distribution</t>
  </si>
  <si>
    <t>Transportation Maint - Admin &amp; General</t>
  </si>
  <si>
    <t>Transportation Capitalized Credits</t>
  </si>
  <si>
    <t>Transportation Lease Costs</t>
  </si>
  <si>
    <t>Transportation Lease Fuel</t>
  </si>
  <si>
    <t>Transportation Lease Maint</t>
  </si>
  <si>
    <t>Transportation - Employee Reimbursement to Company</t>
  </si>
  <si>
    <t>Transportation - Reimburse Employee Personal Use</t>
  </si>
  <si>
    <t>Fuel - Physical Inventory Write-off Scrap</t>
  </si>
  <si>
    <t>Insurance Vehicle</t>
  </si>
  <si>
    <t>Insurance General Liabilty</t>
  </si>
  <si>
    <t>Insurance Workers Compensation</t>
  </si>
  <si>
    <t>Insurance WC Capitalized Credits</t>
  </si>
  <si>
    <t>Insurance Other</t>
  </si>
  <si>
    <t>Regulatory Exp - Amortization</t>
  </si>
  <si>
    <t>Regulatory Exp - Not Authorized</t>
  </si>
  <si>
    <t>Regulatory Exp - Amort Depreciation Study</t>
  </si>
  <si>
    <t>Regulatory Exp - Amort Management Study</t>
  </si>
  <si>
    <t>Regulatory Exp - Other</t>
  </si>
  <si>
    <t>Uncollectible Accounts Exp - Natural Account</t>
  </si>
  <si>
    <t>Uncollectible Accounts Exp - Customer Accounting</t>
  </si>
  <si>
    <t>Uncollectible Accounts Exp - Admin &amp; General</t>
  </si>
  <si>
    <t>Uncollectible Accounts Exp - Individual Value Adj</t>
  </si>
  <si>
    <t>Impairment - Goodwill</t>
  </si>
  <si>
    <t>Impairment - Intangibles</t>
  </si>
  <si>
    <t>Impairment - Plant Property &amp; Equipment</t>
  </si>
  <si>
    <t>Gains/Losses Non-Utility Property Disposals</t>
  </si>
  <si>
    <t>Gains/Losses Non-Utility Property Sales</t>
  </si>
  <si>
    <t>Gains/Losses Utility Property Sales</t>
  </si>
  <si>
    <t>Gains/Losses Acquisition of Asset</t>
  </si>
  <si>
    <t>M&amp;S Maint - Source of Supply</t>
  </si>
  <si>
    <t>M&amp;S Maint - Pumping</t>
  </si>
  <si>
    <t>M&amp;S Maint - Water Treatment</t>
  </si>
  <si>
    <t>M&amp;S Maint - Transmission &amp; Distribution</t>
  </si>
  <si>
    <t>M&amp;S Maint - Admin &amp; General</t>
  </si>
  <si>
    <t>Misc Maint - Source of Supply</t>
  </si>
  <si>
    <t>Misc Maint - Source of Supply Struct &amp; Imp</t>
  </si>
  <si>
    <t>Misc Maint - Source of Supply Coll &amp; Imp</t>
  </si>
  <si>
    <t>Misc Maint - Source of Supply Lake</t>
  </si>
  <si>
    <t>Misc Maint - Source of Supply Wells</t>
  </si>
  <si>
    <t>Misc Maint - Source of Supply Infil Gallery</t>
  </si>
  <si>
    <t>Misc Maint - Source of Supply Supply Mains</t>
  </si>
  <si>
    <t>Misc Maint - Pumping</t>
  </si>
  <si>
    <t>Misc Maint - Pumping - Struct &amp; Imp</t>
  </si>
  <si>
    <t>Misc Maint - Pumping - Power Production</t>
  </si>
  <si>
    <t>Misc Maint - Water Treatment</t>
  </si>
  <si>
    <t>Misc Maint - Water Treatment - Struct &amp; Imp</t>
  </si>
  <si>
    <t>Misc Maint - Water Treatment - Equipment</t>
  </si>
  <si>
    <t>Misc Maint - Transmission &amp; Distribution</t>
  </si>
  <si>
    <t>Misc Maint - Transmission &amp; Distr - Struct &amp; Imp</t>
  </si>
  <si>
    <t>Misc Maint - Transmission &amp; Distrib - Dist Res</t>
  </si>
  <si>
    <t>Misc Maint - Transmission &amp; Distribution - Mains</t>
  </si>
  <si>
    <t>Misc Maint - Transmission &amp; Distrib - Fire Main</t>
  </si>
  <si>
    <t>Misc Maint - Transmission &amp; Distribution - Service</t>
  </si>
  <si>
    <t>Misc Maint - Transmission &amp; Distribution - Meters</t>
  </si>
  <si>
    <t>Misc Maint - Transmission &amp; Distribution - Hydrant</t>
  </si>
  <si>
    <t>Misc Maint - Admin &amp; General</t>
  </si>
  <si>
    <t>Amort Def Maint - Natural Account</t>
  </si>
  <si>
    <t>Amort Def Maint - Source of Supply</t>
  </si>
  <si>
    <t>Amort Def Maint - Pumping</t>
  </si>
  <si>
    <t>Amort Def Maint - Water Treatment</t>
  </si>
  <si>
    <t>Amort Def Maint - Transmission &amp; Distribution</t>
  </si>
  <si>
    <t>Misc Maint Paving/Backfill</t>
  </si>
  <si>
    <t>Misc Maint Permits - Natural Account</t>
  </si>
  <si>
    <t>Misc Maint Permits - Source of Supply</t>
  </si>
  <si>
    <t>Misc Maint Permits - Transmission &amp; Distribution</t>
  </si>
  <si>
    <t>Contract Svc-Eng Maint - Source of Supply</t>
  </si>
  <si>
    <t>Contract Svc-Eng Maint - Pumping</t>
  </si>
  <si>
    <t>Contract Svc-Eng Maint - Water Treatment</t>
  </si>
  <si>
    <t>Contract Svc-Eng Maint - Transmission &amp; Distr</t>
  </si>
  <si>
    <t>Contract Svc-Eng Maint - Admin &amp; General</t>
  </si>
  <si>
    <t>Contract Svc-Other Maint - Source of Supply</t>
  </si>
  <si>
    <t>Contract Svc-Other Maint - Pumping</t>
  </si>
  <si>
    <t>Contract Svc-Other Maint - Water Treatment</t>
  </si>
  <si>
    <t>Contract Svc-Other Maint - Transmission &amp; Distr</t>
  </si>
  <si>
    <t>Contract Svc-Other Maint - Admin &amp; General</t>
  </si>
  <si>
    <t>Depreciation Exp - UPIS General</t>
  </si>
  <si>
    <t>Depreciation Exp - Non-Utility Property</t>
  </si>
  <si>
    <t>Depreciation Exp - Amort Def Depreciation</t>
  </si>
  <si>
    <t>Depreciation Exp - Amort CIAC Tax</t>
  </si>
  <si>
    <t>Depreciation Exp - Amort CIAC Nontax</t>
  </si>
  <si>
    <t>Depreciation Exp - UPAA FAS141</t>
  </si>
  <si>
    <t>Depreciation Exp - Neg UPAA</t>
  </si>
  <si>
    <t>Amortization - Ltd Term Plant</t>
  </si>
  <si>
    <t>Amortization - Capital Leases</t>
  </si>
  <si>
    <t>Amortization - Post In-Service AFUDC</t>
  </si>
  <si>
    <t>Amortization - Reg Asset AFUDC</t>
  </si>
  <si>
    <t>Amortization - UPAA</t>
  </si>
  <si>
    <t>Amortization - Intangible Finite Life</t>
  </si>
  <si>
    <t>Amortization - Property Losses</t>
  </si>
  <si>
    <t>Amortization - Reg Asset</t>
  </si>
  <si>
    <t>Amortization - Other UP</t>
  </si>
  <si>
    <t>Removal Costs - ARO/Net Neg Salvage</t>
  </si>
  <si>
    <t>Removal Costs - Net Negative Salvage CIAC Tax</t>
  </si>
  <si>
    <t>Removal Costs - Net Negative Salvage CIAC Non-Tax</t>
  </si>
  <si>
    <t>Tax Discounts</t>
  </si>
  <si>
    <t>Property Tax Non-Utility Property</t>
  </si>
  <si>
    <t>FUTA Cap Credits</t>
  </si>
  <si>
    <t>FICA Cap Credits</t>
  </si>
  <si>
    <t>SUTA Cap Credits</t>
  </si>
  <si>
    <t>Capital Stock Tax</t>
  </si>
  <si>
    <t>Enviromental Tax</t>
  </si>
  <si>
    <t>FIT - Current</t>
  </si>
  <si>
    <t>FIT - Current - Unitary Returns</t>
  </si>
  <si>
    <t>FIT - Prior Year Adjustment</t>
  </si>
  <si>
    <t>FIT - Prior Year - Unitary Returns</t>
  </si>
  <si>
    <t>FIT - Acquisition Adjustment</t>
  </si>
  <si>
    <t>SIT - Current</t>
  </si>
  <si>
    <t>SIT - Current - Unitary Returns</t>
  </si>
  <si>
    <t>SIT - Prior Year Adjustment</t>
  </si>
  <si>
    <t>SIT - Prior Year - Unitary Returns</t>
  </si>
  <si>
    <t>SIT - Acquisition Adjustment</t>
  </si>
  <si>
    <t>FIT - Other Income &amp; Deductions Current Year</t>
  </si>
  <si>
    <t>FIT - Reduction Acquisition Adjustment</t>
  </si>
  <si>
    <t>SIT - Other Income &amp; Deductions Current Year</t>
  </si>
  <si>
    <t>SIT - Reduction Acquisition Adjustment</t>
  </si>
  <si>
    <t>Deferred FIT - Current Year</t>
  </si>
  <si>
    <t>Deferred FIT - Current Year - Unitary Returns</t>
  </si>
  <si>
    <t>Deferred FIT - Prior Year Adjustment</t>
  </si>
  <si>
    <t>Deferred FIT - Prior Year - Unitary Returns</t>
  </si>
  <si>
    <t>Deferred FIT - Reg Asset/Liability</t>
  </si>
  <si>
    <t>Deferred FIT - Other</t>
  </si>
  <si>
    <t>Deferred SIT - Current Year</t>
  </si>
  <si>
    <t>Deferred SIT - Current Year - Unitary Returns</t>
  </si>
  <si>
    <t>Deferred SIT - Prior Year Adjustment</t>
  </si>
  <si>
    <t>Deferred SIT - Prior Year - Unitary Returns</t>
  </si>
  <si>
    <t>Deferred SIT - Reg Asset/Liability</t>
  </si>
  <si>
    <t>Deferred SIT - Other</t>
  </si>
  <si>
    <t>Investment Tax Credits Restored - 3%</t>
  </si>
  <si>
    <t>Investment Tax Credits Restored - 4%</t>
  </si>
  <si>
    <t>Investment Tax Credits Restored - 10%</t>
  </si>
  <si>
    <t>Investment Tax Credits Restored - 6%</t>
  </si>
  <si>
    <t>Investment Tax Credits Restored SIT</t>
  </si>
  <si>
    <t>AFUDC - Equity</t>
  </si>
  <si>
    <t>Dividend Income</t>
  </si>
  <si>
    <t>Dividend Income C/S Interco</t>
  </si>
  <si>
    <t>Dividend Income P/S Interco</t>
  </si>
  <si>
    <t>M&amp;J Revenues</t>
  </si>
  <si>
    <t>M&amp;J Revenues Intercompany</t>
  </si>
  <si>
    <t>M&amp;J Rev WLPP Billing Intercompany</t>
  </si>
  <si>
    <t>M&amp;J Expenses</t>
  </si>
  <si>
    <t>M&amp;J Expenses Intercompany</t>
  </si>
  <si>
    <t>Misc Nonutility Revenue</t>
  </si>
  <si>
    <t>Misc Nonutility Rev Rents</t>
  </si>
  <si>
    <t>Misc Nonutility Revenue Intercompany</t>
  </si>
  <si>
    <t>Misc Nonutility Rev Debt Exp Intercompany</t>
  </si>
  <si>
    <t>Misc Nonutility Rev Credit Line Intercompany</t>
  </si>
  <si>
    <t>Misc Nonutility Rev Rent Intercompany</t>
  </si>
  <si>
    <t>Misc Nonutility Expense</t>
  </si>
  <si>
    <t>Misc Nonutility JV Profit/Loss</t>
  </si>
  <si>
    <t>Gains/Losses SERP Inv (Suppl Exec Retiremnt Plan)</t>
  </si>
  <si>
    <t>Gains/Losses Other Non-Operating</t>
  </si>
  <si>
    <t>Adv Receipt Services Clearing</t>
  </si>
  <si>
    <t>Adv Receipt Non-Services Clearing</t>
  </si>
  <si>
    <t>Adv Refund Services Clearing</t>
  </si>
  <si>
    <t>Adv Refund Non-Services Clearing</t>
  </si>
  <si>
    <t>CIAC Receipt Services Clearing</t>
  </si>
  <si>
    <t>CIAC Receipt Non-Services Clearing</t>
  </si>
  <si>
    <t>Salvage/Scrap Receipt Clearing</t>
  </si>
  <si>
    <t>Property Sale Receipt Clearing</t>
  </si>
  <si>
    <t>Amortize UPAA</t>
  </si>
  <si>
    <t>Amortize Preferred Stock Expense</t>
  </si>
  <si>
    <t>Donations Deductible</t>
  </si>
  <si>
    <t>Donations Deduct Customer Assist</t>
  </si>
  <si>
    <t>Donations Non-deductible</t>
  </si>
  <si>
    <t>Other Income Deductions</t>
  </si>
  <si>
    <t>Political Contributiions</t>
  </si>
  <si>
    <t>Interest Long Term Debt</t>
  </si>
  <si>
    <t>Interest Long Term Debt Intercompany</t>
  </si>
  <si>
    <t>Interest expense-LTD debt discount amort inside</t>
  </si>
  <si>
    <t>Early Debt Retirement Loss - External</t>
  </si>
  <si>
    <t>Early Debt Retirement Gain - Intercompany</t>
  </si>
  <si>
    <t>Early Debt Retirement Loss - Intercompany</t>
  </si>
  <si>
    <t>Dividends Declared P/S w/ Mand Redemptn Requiremts</t>
  </si>
  <si>
    <t>Interest Capital Lease</t>
  </si>
  <si>
    <t>Interest Capital Lease Intercompany</t>
  </si>
  <si>
    <t>Interest LTD Gain/Loss Hedge SWAP</t>
  </si>
  <si>
    <t>Interest LTD Gain/Loss Hedge Debt</t>
  </si>
  <si>
    <t>Interest LTD Gain/Loss Hedge Intercompany</t>
  </si>
  <si>
    <t>Interest Short Term Debt</t>
  </si>
  <si>
    <t>Interest Short Term Debt Intercompany</t>
  </si>
  <si>
    <t>In-House Cash Center Interest Inc/Exp Clearing</t>
  </si>
  <si>
    <t>Interest Other</t>
  </si>
  <si>
    <t>Interest Income</t>
  </si>
  <si>
    <t>Interest income-LTD intercompany</t>
  </si>
  <si>
    <t>Interest Income - STD Intercompany</t>
  </si>
  <si>
    <t>Interest Income  - LTD debt discount amort</t>
  </si>
  <si>
    <t>AWTR Interest Income  - LTD debt premium amort</t>
  </si>
  <si>
    <t>Amortize Debt Disc &amp; Exp</t>
  </si>
  <si>
    <t>Amortize Debt Disc &amp; Exp Intercompany</t>
  </si>
  <si>
    <t>Amortize Debt Exp Inside-Revolving Credit Line</t>
  </si>
  <si>
    <t>Amort P/S Exp w/ Mandatory Redemptn Requiremts</t>
  </si>
  <si>
    <t>AFUDC Debt</t>
  </si>
  <si>
    <t>Dividend Declared Common Stock</t>
  </si>
  <si>
    <t>Dividend Declared Common Stock Intercompany</t>
  </si>
  <si>
    <t>Dividend Declared Preferred Stock</t>
  </si>
  <si>
    <t>Dividend Declared Preferred Stock Intercompany</t>
  </si>
  <si>
    <t>Capital Movements - UP</t>
  </si>
  <si>
    <t>Capital Movements - CCNC</t>
  </si>
  <si>
    <t>Capital Movements - CWIP</t>
  </si>
  <si>
    <t>Capital Movements - UP - A/D - Salvage</t>
  </si>
  <si>
    <t>Capital Movements - Non-Utility Property</t>
  </si>
  <si>
    <t>Capital Movements - Non-Utility Property - CWIP</t>
  </si>
  <si>
    <t>Capital Movements - Reg Asset Cost of Removal</t>
  </si>
  <si>
    <t>Capital Movements - Reg Asset Cost of Removal RWIP</t>
  </si>
  <si>
    <t>Capital Movements - ADV NT</t>
  </si>
  <si>
    <t>Capital Movements - ADV NT WIP</t>
  </si>
  <si>
    <t>Capital Movements - ADV Tax</t>
  </si>
  <si>
    <t>Capital Movements - ADV Tax WIP</t>
  </si>
  <si>
    <t>Capital Movements - Cost of Removal</t>
  </si>
  <si>
    <t>Capital Movements - RWIP</t>
  </si>
  <si>
    <t>Capital Movements - CIAC NT</t>
  </si>
  <si>
    <t>Capital Movements - CIAC NT WIP</t>
  </si>
  <si>
    <t>Capital Movements - CIAC Tax</t>
  </si>
  <si>
    <t>Capital Movements - CIAC Tax WIP</t>
  </si>
  <si>
    <t>Capital Movements - Settlement</t>
  </si>
  <si>
    <t>Conversion Exceptions</t>
  </si>
  <si>
    <t>89999999</t>
  </si>
  <si>
    <t>88900000</t>
  </si>
  <si>
    <t>88271270</t>
  </si>
  <si>
    <t>88271200</t>
  </si>
  <si>
    <t>88271170</t>
  </si>
  <si>
    <t>88271100</t>
  </si>
  <si>
    <t>88257100</t>
  </si>
  <si>
    <t>88257000</t>
  </si>
  <si>
    <t>88252270</t>
  </si>
  <si>
    <t>88252200</t>
  </si>
  <si>
    <t>88252170</t>
  </si>
  <si>
    <t>88252100</t>
  </si>
  <si>
    <t>88186801</t>
  </si>
  <si>
    <t>88186800</t>
  </si>
  <si>
    <t>88121800</t>
  </si>
  <si>
    <t>88121000</t>
  </si>
  <si>
    <t>88108020</t>
  </si>
  <si>
    <t>88107000</t>
  </si>
  <si>
    <t>88106000</t>
  </si>
  <si>
    <t>88101000</t>
  </si>
  <si>
    <t>86031500</t>
  </si>
  <si>
    <t>86031000</t>
  </si>
  <si>
    <t>86021500</t>
  </si>
  <si>
    <t>86021000</t>
  </si>
  <si>
    <t>85000000</t>
  </si>
  <si>
    <t>82020000</t>
  </si>
  <si>
    <t>82016000</t>
  </si>
  <si>
    <t>82015000</t>
  </si>
  <si>
    <t>Amort Debt Exp Outside-Revolving Credit Line</t>
  </si>
  <si>
    <t>82011000</t>
  </si>
  <si>
    <t>82010000</t>
  </si>
  <si>
    <t>81817000</t>
  </si>
  <si>
    <t>81816000</t>
  </si>
  <si>
    <t>81815100</t>
  </si>
  <si>
    <t>81815000</t>
  </si>
  <si>
    <t>81810000</t>
  </si>
  <si>
    <t>81500000</t>
  </si>
  <si>
    <t>Interest Captive - Intercompany</t>
  </si>
  <si>
    <t>81325000</t>
  </si>
  <si>
    <t>81315100</t>
  </si>
  <si>
    <t>81315000</t>
  </si>
  <si>
    <t>81310000</t>
  </si>
  <si>
    <t>81055200</t>
  </si>
  <si>
    <t>Loss on Hedge Intercompany</t>
  </si>
  <si>
    <t>81050405</t>
  </si>
  <si>
    <t>Loss on Hedge</t>
  </si>
  <si>
    <t>81050400</t>
  </si>
  <si>
    <t>Gain on Hedge Intercompany</t>
  </si>
  <si>
    <t>81050305</t>
  </si>
  <si>
    <t>Gain on Hedge</t>
  </si>
  <si>
    <t>81050300</t>
  </si>
  <si>
    <t>81050100</t>
  </si>
  <si>
    <t>81050000</t>
  </si>
  <si>
    <t>81035000</t>
  </si>
  <si>
    <t>81030000</t>
  </si>
  <si>
    <t>81020000</t>
  </si>
  <si>
    <t>81017200</t>
  </si>
  <si>
    <t>81017100</t>
  </si>
  <si>
    <t>81017000</t>
  </si>
  <si>
    <t>81016000</t>
  </si>
  <si>
    <t>81015000</t>
  </si>
  <si>
    <t>Interest expense LTD - debt discount Outside</t>
  </si>
  <si>
    <t>81011000</t>
  </si>
  <si>
    <t>81010000</t>
  </si>
  <si>
    <t>75841000</t>
  </si>
  <si>
    <t>75840000</t>
  </si>
  <si>
    <t>75820000</t>
  </si>
  <si>
    <t>75815000</t>
  </si>
  <si>
    <t>75811000</t>
  </si>
  <si>
    <t>75810000</t>
  </si>
  <si>
    <t>75520000</t>
  </si>
  <si>
    <t>75510000</t>
  </si>
  <si>
    <t>72803100</t>
  </si>
  <si>
    <t>72803000</t>
  </si>
  <si>
    <t>72802100</t>
  </si>
  <si>
    <t>72802000</t>
  </si>
  <si>
    <t>72801300</t>
  </si>
  <si>
    <t>72801200</t>
  </si>
  <si>
    <t>72801100</t>
  </si>
  <si>
    <t>72801000</t>
  </si>
  <si>
    <t>Other Non-service PBOP Benefit Cost</t>
  </si>
  <si>
    <t>71820000</t>
  </si>
  <si>
    <t>Other Non-service Pension Benefit Cost</t>
  </si>
  <si>
    <t>71810000</t>
  </si>
  <si>
    <t>Investment Income - Captive</t>
  </si>
  <si>
    <t>71720000</t>
  </si>
  <si>
    <t>Gains/Losses Deferred Comp Trust</t>
  </si>
  <si>
    <t>71713000</t>
  </si>
  <si>
    <t>71712000</t>
  </si>
  <si>
    <t>71711000</t>
  </si>
  <si>
    <t>71630000</t>
  </si>
  <si>
    <t>71621000</t>
  </si>
  <si>
    <t>Misc Nonutility Rev Credit Line Fee Amortization</t>
  </si>
  <si>
    <t>71611550</t>
  </si>
  <si>
    <t>71611540</t>
  </si>
  <si>
    <t>71611530</t>
  </si>
  <si>
    <t>71611520</t>
  </si>
  <si>
    <t>71611510</t>
  </si>
  <si>
    <t>71611100</t>
  </si>
  <si>
    <t>71611000</t>
  </si>
  <si>
    <t>71521500</t>
  </si>
  <si>
    <t>71521000</t>
  </si>
  <si>
    <t>71511510</t>
  </si>
  <si>
    <t>71511500</t>
  </si>
  <si>
    <t>71511000</t>
  </si>
  <si>
    <t>71030000</t>
  </si>
  <si>
    <t>71015000</t>
  </si>
  <si>
    <t>71010000</t>
  </si>
  <si>
    <t>70510000</t>
  </si>
  <si>
    <t>69550000</t>
  </si>
  <si>
    <t>69525000</t>
  </si>
  <si>
    <t>69524000</t>
  </si>
  <si>
    <t>69523000</t>
  </si>
  <si>
    <t>69522000</t>
  </si>
  <si>
    <t>69073500</t>
  </si>
  <si>
    <t>69073000</t>
  </si>
  <si>
    <t>69072400</t>
  </si>
  <si>
    <t>69072000</t>
  </si>
  <si>
    <t>69071400</t>
  </si>
  <si>
    <t>69071000</t>
  </si>
  <si>
    <t>69065000</t>
  </si>
  <si>
    <t>69063000</t>
  </si>
  <si>
    <t>69062400</t>
  </si>
  <si>
    <t>69062000</t>
  </si>
  <si>
    <t>69061400</t>
  </si>
  <si>
    <t>69061000</t>
  </si>
  <si>
    <t>69041500</t>
  </si>
  <si>
    <t>69041000</t>
  </si>
  <si>
    <t>69031500</t>
  </si>
  <si>
    <t>69031000</t>
  </si>
  <si>
    <t>SIT - Income Tax Penalty</t>
  </si>
  <si>
    <t>69023200</t>
  </si>
  <si>
    <t>SIT - Income Tax Interest</t>
  </si>
  <si>
    <t>69023100</t>
  </si>
  <si>
    <t>69022500</t>
  </si>
  <si>
    <t>69022400</t>
  </si>
  <si>
    <t>69022000</t>
  </si>
  <si>
    <t>69021400</t>
  </si>
  <si>
    <t>69021000</t>
  </si>
  <si>
    <t>FIT - Income Tax Penalty</t>
  </si>
  <si>
    <t>69013200</t>
  </si>
  <si>
    <t>FIT - Income Tax Interest</t>
  </si>
  <si>
    <t>69013100</t>
  </si>
  <si>
    <t>69012500</t>
  </si>
  <si>
    <t>69012400</t>
  </si>
  <si>
    <t>69012000</t>
  </si>
  <si>
    <t>69011400</t>
  </si>
  <si>
    <t>69011000</t>
  </si>
  <si>
    <t>68545000</t>
  </si>
  <si>
    <t>68544000</t>
  </si>
  <si>
    <t>68543000</t>
  </si>
  <si>
    <t>68542000</t>
  </si>
  <si>
    <t>68541000</t>
  </si>
  <si>
    <t>Local Cap Credit</t>
  </si>
  <si>
    <t>68536100</t>
  </si>
  <si>
    <t>ER Local Tax</t>
  </si>
  <si>
    <t>68536000</t>
  </si>
  <si>
    <t>68535100</t>
  </si>
  <si>
    <t>68535000</t>
  </si>
  <si>
    <t>68533100</t>
  </si>
  <si>
    <t>68533000</t>
  </si>
  <si>
    <t>68532100</t>
  </si>
  <si>
    <t>68532000</t>
  </si>
  <si>
    <t>68529000</t>
  </si>
  <si>
    <t>68520100</t>
  </si>
  <si>
    <t>68520000</t>
  </si>
  <si>
    <t>68312500</t>
  </si>
  <si>
    <t>68312000</t>
  </si>
  <si>
    <t>68311000</t>
  </si>
  <si>
    <t>68259000</t>
  </si>
  <si>
    <t>68258000</t>
  </si>
  <si>
    <t>68257000</t>
  </si>
  <si>
    <t>68256000</t>
  </si>
  <si>
    <t>68255000</t>
  </si>
  <si>
    <t>68254000</t>
  </si>
  <si>
    <t>68253000</t>
  </si>
  <si>
    <t>68252000</t>
  </si>
  <si>
    <t>68251000</t>
  </si>
  <si>
    <t>68013500</t>
  </si>
  <si>
    <t>68013000</t>
  </si>
  <si>
    <t>68012500</t>
  </si>
  <si>
    <t>68012000</t>
  </si>
  <si>
    <t>68011500</t>
  </si>
  <si>
    <t>68011200</t>
  </si>
  <si>
    <t>68011000</t>
  </si>
  <si>
    <t>63150026</t>
  </si>
  <si>
    <t>63150024</t>
  </si>
  <si>
    <t>63150023</t>
  </si>
  <si>
    <t>63150022</t>
  </si>
  <si>
    <t>63150021</t>
  </si>
  <si>
    <t>63110026</t>
  </si>
  <si>
    <t>63110024</t>
  </si>
  <si>
    <t>63110023</t>
  </si>
  <si>
    <t>63110022</t>
  </si>
  <si>
    <t>63110021</t>
  </si>
  <si>
    <t>62520824</t>
  </si>
  <si>
    <t>62520821</t>
  </si>
  <si>
    <t>62520800</t>
  </si>
  <si>
    <t>62520700</t>
  </si>
  <si>
    <t>62512400</t>
  </si>
  <si>
    <t>62512300</t>
  </si>
  <si>
    <t>62512200</t>
  </si>
  <si>
    <t>62512100</t>
  </si>
  <si>
    <t>62510000</t>
  </si>
  <si>
    <t>62502600</t>
  </si>
  <si>
    <t>62502440</t>
  </si>
  <si>
    <t>62502435</t>
  </si>
  <si>
    <t>62502430</t>
  </si>
  <si>
    <t>62502425</t>
  </si>
  <si>
    <t>62502420</t>
  </si>
  <si>
    <t>62502415</t>
  </si>
  <si>
    <t>62502410</t>
  </si>
  <si>
    <t>62502400</t>
  </si>
  <si>
    <t>62502315</t>
  </si>
  <si>
    <t>62502310</t>
  </si>
  <si>
    <t>62502300</t>
  </si>
  <si>
    <t>62502215</t>
  </si>
  <si>
    <t>62502210</t>
  </si>
  <si>
    <t>62502200</t>
  </si>
  <si>
    <t>62502135</t>
  </si>
  <si>
    <t>62502130</t>
  </si>
  <si>
    <t>62502125</t>
  </si>
  <si>
    <t>62502120</t>
  </si>
  <si>
    <t>62502115</t>
  </si>
  <si>
    <t>62502110</t>
  </si>
  <si>
    <t>62502100</t>
  </si>
  <si>
    <t>62002600</t>
  </si>
  <si>
    <t>62002400</t>
  </si>
  <si>
    <t>62002300</t>
  </si>
  <si>
    <t>62002200</t>
  </si>
  <si>
    <t>62002100</t>
  </si>
  <si>
    <t>59022000</t>
  </si>
  <si>
    <t>59021000</t>
  </si>
  <si>
    <t>59011500</t>
  </si>
  <si>
    <t>59011000</t>
  </si>
  <si>
    <t>58002000</t>
  </si>
  <si>
    <t>58001500</t>
  </si>
  <si>
    <t>58001000</t>
  </si>
  <si>
    <t>WO Clearing Acct Bolingbrook</t>
  </si>
  <si>
    <t>57011025</t>
  </si>
  <si>
    <t>Uncollectible Expense - Leak Adjustments</t>
  </si>
  <si>
    <t>57010199</t>
  </si>
  <si>
    <t>57010100</t>
  </si>
  <si>
    <t>57010016</t>
  </si>
  <si>
    <t>57010015</t>
  </si>
  <si>
    <t>57010000</t>
  </si>
  <si>
    <t>56670000</t>
  </si>
  <si>
    <t>56630000</t>
  </si>
  <si>
    <t>56620000</t>
  </si>
  <si>
    <t>56611000</t>
  </si>
  <si>
    <t>56610000</t>
  </si>
  <si>
    <t>Insur Other Than Group - Claims Handling - Captive</t>
  </si>
  <si>
    <t>55754000</t>
  </si>
  <si>
    <t>Insur Other Than Group - Legal - Captive</t>
  </si>
  <si>
    <t>55753000</t>
  </si>
  <si>
    <t>Insur Other Than Group - Audit - Captive</t>
  </si>
  <si>
    <t>55752000</t>
  </si>
  <si>
    <t>Insur Other Than Group - Management - Captive</t>
  </si>
  <si>
    <t>55751000</t>
  </si>
  <si>
    <t>Insur Other Than Group - Actuarial - Captive</t>
  </si>
  <si>
    <t>55750000</t>
  </si>
  <si>
    <t>Insurance Property - Intercompany</t>
  </si>
  <si>
    <t>55745000</t>
  </si>
  <si>
    <t>Insurance Property</t>
  </si>
  <si>
    <t>55740000</t>
  </si>
  <si>
    <t>Insurance Other - Intercompany</t>
  </si>
  <si>
    <t>55735000</t>
  </si>
  <si>
    <t>55730000</t>
  </si>
  <si>
    <t>Insurance Workers Compensation - Intercompany</t>
  </si>
  <si>
    <t>55725000</t>
  </si>
  <si>
    <t>55720100</t>
  </si>
  <si>
    <t>55720000</t>
  </si>
  <si>
    <t>Insurance General Liabilty - Intercompany</t>
  </si>
  <si>
    <t>55715000</t>
  </si>
  <si>
    <t>Insurance Casualty Reserve</t>
  </si>
  <si>
    <t>55711000</t>
  </si>
  <si>
    <t>55710000</t>
  </si>
  <si>
    <t>Insurance Vehicle - Intercompany</t>
  </si>
  <si>
    <t>55115000</t>
  </si>
  <si>
    <t>55110000</t>
  </si>
  <si>
    <t>55020000</t>
  </si>
  <si>
    <t>55010500</t>
  </si>
  <si>
    <t>55010400</t>
  </si>
  <si>
    <t>55010300</t>
  </si>
  <si>
    <t>55010200</t>
  </si>
  <si>
    <t>55010100</t>
  </si>
  <si>
    <t>55000100</t>
  </si>
  <si>
    <t>55000026</t>
  </si>
  <si>
    <t>55000024</t>
  </si>
  <si>
    <t>55000023</t>
  </si>
  <si>
    <t>55000022</t>
  </si>
  <si>
    <t>55000021</t>
  </si>
  <si>
    <t>55000016</t>
  </si>
  <si>
    <t>55000015</t>
  </si>
  <si>
    <t>55000014</t>
  </si>
  <si>
    <t>55000013</t>
  </si>
  <si>
    <t>55000012</t>
  </si>
  <si>
    <t>55000011</t>
  </si>
  <si>
    <t>55000000</t>
  </si>
  <si>
    <t>54145000</t>
  </si>
  <si>
    <t>54140016</t>
  </si>
  <si>
    <t>54140015</t>
  </si>
  <si>
    <t>54140014</t>
  </si>
  <si>
    <t>54140013</t>
  </si>
  <si>
    <t>54140012</t>
  </si>
  <si>
    <t>54140011</t>
  </si>
  <si>
    <t>54140000</t>
  </si>
  <si>
    <t>54115000</t>
  </si>
  <si>
    <t>54110016</t>
  </si>
  <si>
    <t>54110015</t>
  </si>
  <si>
    <t>54110014</t>
  </si>
  <si>
    <t>54110013</t>
  </si>
  <si>
    <t>54110012</t>
  </si>
  <si>
    <t>54110011</t>
  </si>
  <si>
    <t>54110000</t>
  </si>
  <si>
    <t>53482600</t>
  </si>
  <si>
    <t>53482500</t>
  </si>
  <si>
    <t>53482400</t>
  </si>
  <si>
    <t>53482300</t>
  </si>
  <si>
    <t>53482200</t>
  </si>
  <si>
    <t>53482100</t>
  </si>
  <si>
    <t>53481900</t>
  </si>
  <si>
    <t>53481700</t>
  </si>
  <si>
    <t>53481500</t>
  </si>
  <si>
    <t>53481400</t>
  </si>
  <si>
    <t>53481300</t>
  </si>
  <si>
    <t>53481200</t>
  </si>
  <si>
    <t>53481100</t>
  </si>
  <si>
    <t>53481000</t>
  </si>
  <si>
    <t>53409999</t>
  </si>
  <si>
    <t>53402600</t>
  </si>
  <si>
    <t>53402500</t>
  </si>
  <si>
    <t>53402400</t>
  </si>
  <si>
    <t>53402300</t>
  </si>
  <si>
    <t>53402200</t>
  </si>
  <si>
    <t>53402100</t>
  </si>
  <si>
    <t>53401900</t>
  </si>
  <si>
    <t>53401700</t>
  </si>
  <si>
    <t>53401500</t>
  </si>
  <si>
    <t>53401400</t>
  </si>
  <si>
    <t>53401300</t>
  </si>
  <si>
    <t>53401200</t>
  </si>
  <si>
    <t>53401100</t>
  </si>
  <si>
    <t>53401000</t>
  </si>
  <si>
    <t>53185000</t>
  </si>
  <si>
    <t>Contract Services - Hardware Services</t>
  </si>
  <si>
    <t>53159100</t>
  </si>
  <si>
    <t>Contract Services - Centrally Sponsored Projects</t>
  </si>
  <si>
    <t>53159000</t>
  </si>
  <si>
    <t>53158000</t>
  </si>
  <si>
    <t>53157000</t>
  </si>
  <si>
    <t>53156000</t>
  </si>
  <si>
    <t>53155000</t>
  </si>
  <si>
    <t>53154000</t>
  </si>
  <si>
    <t>53153000</t>
  </si>
  <si>
    <t>53152000</t>
  </si>
  <si>
    <t>53151016</t>
  </si>
  <si>
    <t>53151015</t>
  </si>
  <si>
    <t>53151014</t>
  </si>
  <si>
    <t>53151013</t>
  </si>
  <si>
    <t>53151011</t>
  </si>
  <si>
    <t>53151000</t>
  </si>
  <si>
    <t>53150016</t>
  </si>
  <si>
    <t>53150015</t>
  </si>
  <si>
    <t>53150014</t>
  </si>
  <si>
    <t>53150013</t>
  </si>
  <si>
    <t>53150011</t>
  </si>
  <si>
    <t>53150000</t>
  </si>
  <si>
    <t>53110016</t>
  </si>
  <si>
    <t>53110015</t>
  </si>
  <si>
    <t>53110014</t>
  </si>
  <si>
    <t>53110013</t>
  </si>
  <si>
    <t>53110011</t>
  </si>
  <si>
    <t>53110000</t>
  </si>
  <si>
    <t>52805100</t>
  </si>
  <si>
    <t>52805000</t>
  </si>
  <si>
    <t>52801500</t>
  </si>
  <si>
    <t>52801200</t>
  </si>
  <si>
    <t>52801100</t>
  </si>
  <si>
    <t>52801000</t>
  </si>
  <si>
    <t>52599800</t>
  </si>
  <si>
    <t>52586000</t>
  </si>
  <si>
    <t>52585100</t>
  </si>
  <si>
    <t>52585000</t>
  </si>
  <si>
    <t>52583016</t>
  </si>
  <si>
    <t>52583014</t>
  </si>
  <si>
    <t>52583013</t>
  </si>
  <si>
    <t>52583011</t>
  </si>
  <si>
    <t>52583000</t>
  </si>
  <si>
    <t>52582016</t>
  </si>
  <si>
    <t>52582015</t>
  </si>
  <si>
    <t>52582014</t>
  </si>
  <si>
    <t>52582013</t>
  </si>
  <si>
    <t>52582012</t>
  </si>
  <si>
    <t>52582011</t>
  </si>
  <si>
    <t>52582000</t>
  </si>
  <si>
    <t>52579000</t>
  </si>
  <si>
    <t>52578016</t>
  </si>
  <si>
    <t>52578015</t>
  </si>
  <si>
    <t>52578014</t>
  </si>
  <si>
    <t>52578013</t>
  </si>
  <si>
    <t>52578011</t>
  </si>
  <si>
    <t>52578000</t>
  </si>
  <si>
    <t>52577500</t>
  </si>
  <si>
    <t>52574316</t>
  </si>
  <si>
    <t>52574315</t>
  </si>
  <si>
    <t>52574314</t>
  </si>
  <si>
    <t>52574300</t>
  </si>
  <si>
    <t>52574200</t>
  </si>
  <si>
    <t>52574116</t>
  </si>
  <si>
    <t>52574115</t>
  </si>
  <si>
    <t>52574114</t>
  </si>
  <si>
    <t>52574113</t>
  </si>
  <si>
    <t>52574111</t>
  </si>
  <si>
    <t>52574100</t>
  </si>
  <si>
    <t>52574016</t>
  </si>
  <si>
    <t>52574015</t>
  </si>
  <si>
    <t>52574014</t>
  </si>
  <si>
    <t>52574013</t>
  </si>
  <si>
    <t>52574011</t>
  </si>
  <si>
    <t>52574000</t>
  </si>
  <si>
    <t>52572000</t>
  </si>
  <si>
    <t>52571500</t>
  </si>
  <si>
    <t>52571100</t>
  </si>
  <si>
    <t>52571016</t>
  </si>
  <si>
    <t>52571015</t>
  </si>
  <si>
    <t>52571014</t>
  </si>
  <si>
    <t>52571013</t>
  </si>
  <si>
    <t>52571011</t>
  </si>
  <si>
    <t>52571000</t>
  </si>
  <si>
    <t>52568000</t>
  </si>
  <si>
    <t>52567000</t>
  </si>
  <si>
    <t>52566700</t>
  </si>
  <si>
    <t>52566016</t>
  </si>
  <si>
    <t>52566015</t>
  </si>
  <si>
    <t>52566000</t>
  </si>
  <si>
    <t>52564000</t>
  </si>
  <si>
    <t>52562516</t>
  </si>
  <si>
    <t>52562515</t>
  </si>
  <si>
    <t>52562514</t>
  </si>
  <si>
    <t>52562513</t>
  </si>
  <si>
    <t>52562511</t>
  </si>
  <si>
    <t>52562500</t>
  </si>
  <si>
    <t>52562016</t>
  </si>
  <si>
    <t>52562015</t>
  </si>
  <si>
    <t>52562014</t>
  </si>
  <si>
    <t>52562013</t>
  </si>
  <si>
    <t>52562011</t>
  </si>
  <si>
    <t>52562000</t>
  </si>
  <si>
    <t>52556500</t>
  </si>
  <si>
    <t>52556000</t>
  </si>
  <si>
    <t>52554500</t>
  </si>
  <si>
    <t>52550016</t>
  </si>
  <si>
    <t>52550015</t>
  </si>
  <si>
    <t>52550014</t>
  </si>
  <si>
    <t>52550013</t>
  </si>
  <si>
    <t>52550012</t>
  </si>
  <si>
    <t>52550000</t>
  </si>
  <si>
    <t>52549500</t>
  </si>
  <si>
    <t>52549000</t>
  </si>
  <si>
    <t>52548100</t>
  </si>
  <si>
    <t>52548016</t>
  </si>
  <si>
    <t>52548015</t>
  </si>
  <si>
    <t>52548014</t>
  </si>
  <si>
    <t>52548013</t>
  </si>
  <si>
    <t>52548011</t>
  </si>
  <si>
    <t>52548000</t>
  </si>
  <si>
    <t>52546016</t>
  </si>
  <si>
    <t>52546014</t>
  </si>
  <si>
    <t>52546013</t>
  </si>
  <si>
    <t>52546011</t>
  </si>
  <si>
    <t>52546000</t>
  </si>
  <si>
    <t>52542016</t>
  </si>
  <si>
    <t>52542015</t>
  </si>
  <si>
    <t>52542000</t>
  </si>
  <si>
    <t>52540000</t>
  </si>
  <si>
    <t>52535100</t>
  </si>
  <si>
    <t>52535000</t>
  </si>
  <si>
    <t>52534200</t>
  </si>
  <si>
    <t>52534000</t>
  </si>
  <si>
    <t>52532016</t>
  </si>
  <si>
    <t>52532015</t>
  </si>
  <si>
    <t>52532014</t>
  </si>
  <si>
    <t>52532013</t>
  </si>
  <si>
    <t>52532011</t>
  </si>
  <si>
    <t>52532000</t>
  </si>
  <si>
    <t>52527100</t>
  </si>
  <si>
    <t>52527000</t>
  </si>
  <si>
    <t>52526100</t>
  </si>
  <si>
    <t>52526000</t>
  </si>
  <si>
    <t>52525500</t>
  </si>
  <si>
    <t>52525000</t>
  </si>
  <si>
    <t>Co Dues/Membership Nondeductible</t>
  </si>
  <si>
    <t>52524100</t>
  </si>
  <si>
    <t>52524000</t>
  </si>
  <si>
    <t>52522000</t>
  </si>
  <si>
    <t>52520000</t>
  </si>
  <si>
    <t>52515001</t>
  </si>
  <si>
    <t>52515000</t>
  </si>
  <si>
    <t>52514910</t>
  </si>
  <si>
    <t>52514909</t>
  </si>
  <si>
    <t>52514908</t>
  </si>
  <si>
    <t>52514907</t>
  </si>
  <si>
    <t>52514906</t>
  </si>
  <si>
    <t>52514905</t>
  </si>
  <si>
    <t>52514904</t>
  </si>
  <si>
    <t>52514903</t>
  </si>
  <si>
    <t>52514902</t>
  </si>
  <si>
    <t>52514901</t>
  </si>
  <si>
    <t>52514900</t>
  </si>
  <si>
    <t>52514800</t>
  </si>
  <si>
    <t>52514700</t>
  </si>
  <si>
    <t>52514600</t>
  </si>
  <si>
    <t>52514500</t>
  </si>
  <si>
    <t>52514100</t>
  </si>
  <si>
    <t>52514000</t>
  </si>
  <si>
    <t>52513200</t>
  </si>
  <si>
    <t>52512500</t>
  </si>
  <si>
    <t>52510016</t>
  </si>
  <si>
    <t>52510015</t>
  </si>
  <si>
    <t>52510000</t>
  </si>
  <si>
    <t>52503000</t>
  </si>
  <si>
    <t>52501600</t>
  </si>
  <si>
    <t>52501520</t>
  </si>
  <si>
    <t>52501515</t>
  </si>
  <si>
    <t>52501510</t>
  </si>
  <si>
    <t>52501500</t>
  </si>
  <si>
    <t>52501425</t>
  </si>
  <si>
    <t>52501420</t>
  </si>
  <si>
    <t>52501415</t>
  </si>
  <si>
    <t>52501410</t>
  </si>
  <si>
    <t>52501400</t>
  </si>
  <si>
    <t>52501300</t>
  </si>
  <si>
    <t>52501200</t>
  </si>
  <si>
    <t>52501100</t>
  </si>
  <si>
    <t>52500000</t>
  </si>
  <si>
    <t>52001600</t>
  </si>
  <si>
    <t>52001500</t>
  </si>
  <si>
    <t>52001400</t>
  </si>
  <si>
    <t>52001300</t>
  </si>
  <si>
    <t>52001200</t>
  </si>
  <si>
    <t>52001100</t>
  </si>
  <si>
    <t>52000000</t>
  </si>
  <si>
    <t>51850000</t>
  </si>
  <si>
    <t>51800000</t>
  </si>
  <si>
    <t>51520000</t>
  </si>
  <si>
    <t>51510500</t>
  </si>
  <si>
    <t>51510016</t>
  </si>
  <si>
    <t>51510015</t>
  </si>
  <si>
    <t>51510014</t>
  </si>
  <si>
    <t>51510013</t>
  </si>
  <si>
    <t>51510012</t>
  </si>
  <si>
    <t>51510011</t>
  </si>
  <si>
    <t>51510000</t>
  </si>
  <si>
    <t>51120000</t>
  </si>
  <si>
    <t>51115000</t>
  </si>
  <si>
    <t>51110600</t>
  </si>
  <si>
    <t>51110500</t>
  </si>
  <si>
    <t>51110000</t>
  </si>
  <si>
    <t>51020000</t>
  </si>
  <si>
    <t>51015000</t>
  </si>
  <si>
    <t>51010500</t>
  </si>
  <si>
    <t>51010000</t>
  </si>
  <si>
    <t>50630000</t>
  </si>
  <si>
    <t>50620000</t>
  </si>
  <si>
    <t>50610100</t>
  </si>
  <si>
    <t>50610000</t>
  </si>
  <si>
    <t>Health Savings Account Expense</t>
  </si>
  <si>
    <t>50560000</t>
  </si>
  <si>
    <t>50550100</t>
  </si>
  <si>
    <t>50550000</t>
  </si>
  <si>
    <t>50510100</t>
  </si>
  <si>
    <t>50510000</t>
  </si>
  <si>
    <t>50458000</t>
  </si>
  <si>
    <t>50457000</t>
  </si>
  <si>
    <t>50456000</t>
  </si>
  <si>
    <t>50454000</t>
  </si>
  <si>
    <t>50452000</t>
  </si>
  <si>
    <t>50451000</t>
  </si>
  <si>
    <t>50450016</t>
  </si>
  <si>
    <t>50450015</t>
  </si>
  <si>
    <t>50450014</t>
  </si>
  <si>
    <t>50450013</t>
  </si>
  <si>
    <t>50450012</t>
  </si>
  <si>
    <t>50450011</t>
  </si>
  <si>
    <t>50450000</t>
  </si>
  <si>
    <t>50427000</t>
  </si>
  <si>
    <t>50426100</t>
  </si>
  <si>
    <t>50426000</t>
  </si>
  <si>
    <t>50425000</t>
  </si>
  <si>
    <t>50424000</t>
  </si>
  <si>
    <t>50423000</t>
  </si>
  <si>
    <t>50422100</t>
  </si>
  <si>
    <t>50422000</t>
  </si>
  <si>
    <t>50421100</t>
  </si>
  <si>
    <t>50421000</t>
  </si>
  <si>
    <t>50185000</t>
  </si>
  <si>
    <t>50171800</t>
  </si>
  <si>
    <t>50171600</t>
  </si>
  <si>
    <t>50171100</t>
  </si>
  <si>
    <t>50171000</t>
  </si>
  <si>
    <t>50129900</t>
  </si>
  <si>
    <t>50122600</t>
  </si>
  <si>
    <t>50122440</t>
  </si>
  <si>
    <t>50122435</t>
  </si>
  <si>
    <t>50122430</t>
  </si>
  <si>
    <t>50122425</t>
  </si>
  <si>
    <t>50122420</t>
  </si>
  <si>
    <t>50122415</t>
  </si>
  <si>
    <t>50122410</t>
  </si>
  <si>
    <t>50122405</t>
  </si>
  <si>
    <t>50122400</t>
  </si>
  <si>
    <t>50122315</t>
  </si>
  <si>
    <t>50122310</t>
  </si>
  <si>
    <t>50122305</t>
  </si>
  <si>
    <t>50122300</t>
  </si>
  <si>
    <t>50122215</t>
  </si>
  <si>
    <t>50122210</t>
  </si>
  <si>
    <t>50122205</t>
  </si>
  <si>
    <t>50122200</t>
  </si>
  <si>
    <t>50122135</t>
  </si>
  <si>
    <t>50122130</t>
  </si>
  <si>
    <t>50122125</t>
  </si>
  <si>
    <t>50122120</t>
  </si>
  <si>
    <t>50122115</t>
  </si>
  <si>
    <t>50122110</t>
  </si>
  <si>
    <t>50122105</t>
  </si>
  <si>
    <t>50122100</t>
  </si>
  <si>
    <t>50121600</t>
  </si>
  <si>
    <t>50121520</t>
  </si>
  <si>
    <t>50121515</t>
  </si>
  <si>
    <t>50121510</t>
  </si>
  <si>
    <t>50121505</t>
  </si>
  <si>
    <t>50121500</t>
  </si>
  <si>
    <t>50121425</t>
  </si>
  <si>
    <t>50121420</t>
  </si>
  <si>
    <t>50121415</t>
  </si>
  <si>
    <t>50121410</t>
  </si>
  <si>
    <t>50121405</t>
  </si>
  <si>
    <t>50121400</t>
  </si>
  <si>
    <t>50121305</t>
  </si>
  <si>
    <t>50121300</t>
  </si>
  <si>
    <t>50121215</t>
  </si>
  <si>
    <t>50121210</t>
  </si>
  <si>
    <t>50121205</t>
  </si>
  <si>
    <t>50121200</t>
  </si>
  <si>
    <t>50121105</t>
  </si>
  <si>
    <t>50121100</t>
  </si>
  <si>
    <t>50120000</t>
  </si>
  <si>
    <t>50119900</t>
  </si>
  <si>
    <t>50112600</t>
  </si>
  <si>
    <t>50112440</t>
  </si>
  <si>
    <t>50112435</t>
  </si>
  <si>
    <t>50112430</t>
  </si>
  <si>
    <t>50112425</t>
  </si>
  <si>
    <t>50112420</t>
  </si>
  <si>
    <t>50112415</t>
  </si>
  <si>
    <t>50112410</t>
  </si>
  <si>
    <t>50112405</t>
  </si>
  <si>
    <t>50112400</t>
  </si>
  <si>
    <t>50112315</t>
  </si>
  <si>
    <t>50112310</t>
  </si>
  <si>
    <t>50112305</t>
  </si>
  <si>
    <t>50112300</t>
  </si>
  <si>
    <t>50112215</t>
  </si>
  <si>
    <t>50112210</t>
  </si>
  <si>
    <t>50112205</t>
  </si>
  <si>
    <t>50112200</t>
  </si>
  <si>
    <t>50112135</t>
  </si>
  <si>
    <t>50112130</t>
  </si>
  <si>
    <t>50112125</t>
  </si>
  <si>
    <t>50112120</t>
  </si>
  <si>
    <t>50112115</t>
  </si>
  <si>
    <t>50112110</t>
  </si>
  <si>
    <t>50112105</t>
  </si>
  <si>
    <t>50112100</t>
  </si>
  <si>
    <t>50111600</t>
  </si>
  <si>
    <t>50111520</t>
  </si>
  <si>
    <t>50111515</t>
  </si>
  <si>
    <t>50111510</t>
  </si>
  <si>
    <t>50111505</t>
  </si>
  <si>
    <t>50111500</t>
  </si>
  <si>
    <t>50111425</t>
  </si>
  <si>
    <t>50111420</t>
  </si>
  <si>
    <t>50111415</t>
  </si>
  <si>
    <t>50111410</t>
  </si>
  <si>
    <t>50111405</t>
  </si>
  <si>
    <t>50111400</t>
  </si>
  <si>
    <t>50111305</t>
  </si>
  <si>
    <t>50111300</t>
  </si>
  <si>
    <t>50111215</t>
  </si>
  <si>
    <t>50111210</t>
  </si>
  <si>
    <t>50111205</t>
  </si>
  <si>
    <t>50111200</t>
  </si>
  <si>
    <t>50111105</t>
  </si>
  <si>
    <t>50111100</t>
  </si>
  <si>
    <t>50110000</t>
  </si>
  <si>
    <t>50109900</t>
  </si>
  <si>
    <t>50102600</t>
  </si>
  <si>
    <t>50102440</t>
  </si>
  <si>
    <t>50102435</t>
  </si>
  <si>
    <t>50102430</t>
  </si>
  <si>
    <t>50102425</t>
  </si>
  <si>
    <t>50102420</t>
  </si>
  <si>
    <t>50102415</t>
  </si>
  <si>
    <t>50102410</t>
  </si>
  <si>
    <t>50102405</t>
  </si>
  <si>
    <t>50102400</t>
  </si>
  <si>
    <t>50102315</t>
  </si>
  <si>
    <t>50102310</t>
  </si>
  <si>
    <t>50102305</t>
  </si>
  <si>
    <t>50102300</t>
  </si>
  <si>
    <t>50102215</t>
  </si>
  <si>
    <t>50102210</t>
  </si>
  <si>
    <t>50102205</t>
  </si>
  <si>
    <t>50102200</t>
  </si>
  <si>
    <t>50102135</t>
  </si>
  <si>
    <t>50102130</t>
  </si>
  <si>
    <t>50102125</t>
  </si>
  <si>
    <t>50102120</t>
  </si>
  <si>
    <t>50102115</t>
  </si>
  <si>
    <t>50102110</t>
  </si>
  <si>
    <t>50102105</t>
  </si>
  <si>
    <t>50102100</t>
  </si>
  <si>
    <t>50101601</t>
  </si>
  <si>
    <t>50101600</t>
  </si>
  <si>
    <t>50101520</t>
  </si>
  <si>
    <t>50101515</t>
  </si>
  <si>
    <t>50101510</t>
  </si>
  <si>
    <t>50101505</t>
  </si>
  <si>
    <t>50101500</t>
  </si>
  <si>
    <t>50101425</t>
  </si>
  <si>
    <t>50101420</t>
  </si>
  <si>
    <t>50101415</t>
  </si>
  <si>
    <t>50101410</t>
  </si>
  <si>
    <t>50101405</t>
  </si>
  <si>
    <t>50101400</t>
  </si>
  <si>
    <t>50101305</t>
  </si>
  <si>
    <t>50101300</t>
  </si>
  <si>
    <t>50101215</t>
  </si>
  <si>
    <t>50101210</t>
  </si>
  <si>
    <t>50101205</t>
  </si>
  <si>
    <t>50101200</t>
  </si>
  <si>
    <t>50101105</t>
  </si>
  <si>
    <t>50101100</t>
  </si>
  <si>
    <t>50100002</t>
  </si>
  <si>
    <t>50100001</t>
  </si>
  <si>
    <t>50100000</t>
  </si>
  <si>
    <t>45000002</t>
  </si>
  <si>
    <t>45000001</t>
  </si>
  <si>
    <t>45000000</t>
  </si>
  <si>
    <t>Insurance Revenue - Property - Intercompany</t>
  </si>
  <si>
    <t>41614000</t>
  </si>
  <si>
    <t>Insurance Revenue - Other - Intercompany</t>
  </si>
  <si>
    <t>41613000</t>
  </si>
  <si>
    <t>Insurance Revenue - Workers Comp - Intercompany</t>
  </si>
  <si>
    <t>41612000</t>
  </si>
  <si>
    <t>Insurance Revenue - General Liability-Intercompany</t>
  </si>
  <si>
    <t>41611000</t>
  </si>
  <si>
    <t>Insurance Revenue - Vehicle - Intercompany</t>
  </si>
  <si>
    <t>41610000</t>
  </si>
  <si>
    <t>40999999</t>
  </si>
  <si>
    <t>Leak Adjustment Revenue</t>
  </si>
  <si>
    <t>40399999</t>
  </si>
  <si>
    <t>40359900</t>
  </si>
  <si>
    <t>40351100</t>
  </si>
  <si>
    <t>40319900</t>
  </si>
  <si>
    <t>40313000</t>
  </si>
  <si>
    <t>40311600</t>
  </si>
  <si>
    <t>40310900</t>
  </si>
  <si>
    <t>40310800</t>
  </si>
  <si>
    <t>40310700</t>
  </si>
  <si>
    <t>40310600</t>
  </si>
  <si>
    <t>40310500</t>
  </si>
  <si>
    <t>40310400</t>
  </si>
  <si>
    <t>40310300</t>
  </si>
  <si>
    <t>40310250</t>
  </si>
  <si>
    <t>40310200</t>
  </si>
  <si>
    <t>40310100</t>
  </si>
  <si>
    <t>40310000</t>
  </si>
  <si>
    <t>40300100</t>
  </si>
  <si>
    <t>40290000</t>
  </si>
  <si>
    <t>40280000</t>
  </si>
  <si>
    <t>40272000</t>
  </si>
  <si>
    <t>Misc WW Service Billed Non-RevStabil Mechanism</t>
  </si>
  <si>
    <t>40271400</t>
  </si>
  <si>
    <t>40271300</t>
  </si>
  <si>
    <t>Misc Sales WW Service Billed DSIC</t>
  </si>
  <si>
    <t>40271200</t>
  </si>
  <si>
    <t>Misc WW Service Billed Surcharge</t>
  </si>
  <si>
    <t>40271100</t>
  </si>
  <si>
    <t>40271000</t>
  </si>
  <si>
    <t>Sales for Resale WW Billed Non-Rev StabilMechanism</t>
  </si>
  <si>
    <t>40261400</t>
  </si>
  <si>
    <t>Sale for Resale WW Service Billed DSIC</t>
  </si>
  <si>
    <t>40261200</t>
  </si>
  <si>
    <t>40252000</t>
  </si>
  <si>
    <t>Public AuthorityWW ServiceBilled Non-RevStabilMech</t>
  </si>
  <si>
    <t>40251400</t>
  </si>
  <si>
    <t>40251300</t>
  </si>
  <si>
    <t>Public Authority WW Service Billed DSIC</t>
  </si>
  <si>
    <t>40251200</t>
  </si>
  <si>
    <t>40251100</t>
  </si>
  <si>
    <t>40251000</t>
  </si>
  <si>
    <t>Accrued Revenue Stabilization WW</t>
  </si>
  <si>
    <t>40238000</t>
  </si>
  <si>
    <t>40232000</t>
  </si>
  <si>
    <t>Industrial WW ServiceBilled Non-RevStabilMechanism</t>
  </si>
  <si>
    <t>40231400</t>
  </si>
  <si>
    <t>40231300</t>
  </si>
  <si>
    <t>Industrial WW Service Billed DSIC</t>
  </si>
  <si>
    <t>40231200</t>
  </si>
  <si>
    <t>40231100</t>
  </si>
  <si>
    <t>40231000</t>
  </si>
  <si>
    <t>40222000</t>
  </si>
  <si>
    <t>Commercial WW ServiceBilled Non-RevStabilMechanism</t>
  </si>
  <si>
    <t>40221400</t>
  </si>
  <si>
    <t>40221300</t>
  </si>
  <si>
    <t>Commercial WW Service Billed DSIC</t>
  </si>
  <si>
    <t>40221200</t>
  </si>
  <si>
    <t>40221100</t>
  </si>
  <si>
    <t>40221000</t>
  </si>
  <si>
    <t>40212000</t>
  </si>
  <si>
    <t>Domestic WW Service Billed Non-RevStabil Mechanism</t>
  </si>
  <si>
    <t>40211400</t>
  </si>
  <si>
    <t>40211300</t>
  </si>
  <si>
    <t>40211200</t>
  </si>
  <si>
    <t>40211100</t>
  </si>
  <si>
    <t>40211001</t>
  </si>
  <si>
    <t>40211000</t>
  </si>
  <si>
    <t>40189900</t>
  </si>
  <si>
    <t>40180300</t>
  </si>
  <si>
    <t>40180200</t>
  </si>
  <si>
    <t>40180100</t>
  </si>
  <si>
    <t>40175100</t>
  </si>
  <si>
    <t>40172000</t>
  </si>
  <si>
    <t>Misc Sales Billed Non-Rev Stabil Mechanism</t>
  </si>
  <si>
    <t>40171400</t>
  </si>
  <si>
    <t>40171300</t>
  </si>
  <si>
    <t>Misc Sales Billed DSIC</t>
  </si>
  <si>
    <t>40171200</t>
  </si>
  <si>
    <t>40171100</t>
  </si>
  <si>
    <t>40171000</t>
  </si>
  <si>
    <t>40162000</t>
  </si>
  <si>
    <t>Sales for Resale Billed Non-Rev Stabil Mechanism</t>
  </si>
  <si>
    <t>40161400</t>
  </si>
  <si>
    <t>40161250</t>
  </si>
  <si>
    <t>40161200</t>
  </si>
  <si>
    <t>40161100</t>
  </si>
  <si>
    <t>40161050</t>
  </si>
  <si>
    <t>40161000</t>
  </si>
  <si>
    <t>40152000</t>
  </si>
  <si>
    <t>Public Authority Billed Non-Rev Stabil Mechanism</t>
  </si>
  <si>
    <t>40151400</t>
  </si>
  <si>
    <t>40151200</t>
  </si>
  <si>
    <t>40151100</t>
  </si>
  <si>
    <t>40151000</t>
  </si>
  <si>
    <t>40146000</t>
  </si>
  <si>
    <t>Private Fire Billed Non-Rev Stabil Mechanism</t>
  </si>
  <si>
    <t>40145400</t>
  </si>
  <si>
    <t>40145200</t>
  </si>
  <si>
    <t>40145100</t>
  </si>
  <si>
    <t>40145000</t>
  </si>
  <si>
    <t>40142000</t>
  </si>
  <si>
    <t>Public Fire Billed Non-Rev Stabil Mechanism</t>
  </si>
  <si>
    <t>40141400</t>
  </si>
  <si>
    <t>40141200</t>
  </si>
  <si>
    <t>40141100</t>
  </si>
  <si>
    <t>40141000</t>
  </si>
  <si>
    <t>40138200</t>
  </si>
  <si>
    <t>40138000</t>
  </si>
  <si>
    <t>40132000</t>
  </si>
  <si>
    <t>Industrial Sales Billed Non-Rev Stabil Mechanism</t>
  </si>
  <si>
    <t>40131400</t>
  </si>
  <si>
    <t>40131200</t>
  </si>
  <si>
    <t>40131100</t>
  </si>
  <si>
    <t>40131000</t>
  </si>
  <si>
    <t>40122000</t>
  </si>
  <si>
    <t>Commercial Sales Billed Non-Rev Stabil Mechanism</t>
  </si>
  <si>
    <t>40121400</t>
  </si>
  <si>
    <t>40121300</t>
  </si>
  <si>
    <t>40121200</t>
  </si>
  <si>
    <t>40121100</t>
  </si>
  <si>
    <t>40121000</t>
  </si>
  <si>
    <t>40112000</t>
  </si>
  <si>
    <t>Residential Sales Billed Non-Rev Stabil Mechanism</t>
  </si>
  <si>
    <t>40111400</t>
  </si>
  <si>
    <t>40111300</t>
  </si>
  <si>
    <t>40111200</t>
  </si>
  <si>
    <t>40111199</t>
  </si>
  <si>
    <t>40111100</t>
  </si>
  <si>
    <t>40111001</t>
  </si>
  <si>
    <t>40111000</t>
  </si>
  <si>
    <t>29999999</t>
  </si>
  <si>
    <t>27210000</t>
  </si>
  <si>
    <t>27206000</t>
  </si>
  <si>
    <t>27205000</t>
  </si>
  <si>
    <t>27204000</t>
  </si>
  <si>
    <t>27203000</t>
  </si>
  <si>
    <t>27201000</t>
  </si>
  <si>
    <t>27146000</t>
  </si>
  <si>
    <t>27145000</t>
  </si>
  <si>
    <t>27144000</t>
  </si>
  <si>
    <t>27143000</t>
  </si>
  <si>
    <t>CIAC-Taxable - Extension Deposits - FIT</t>
  </si>
  <si>
    <t>27142000</t>
  </si>
  <si>
    <t>27141000</t>
  </si>
  <si>
    <t>27137000</t>
  </si>
  <si>
    <t>27136000</t>
  </si>
  <si>
    <t>27135000</t>
  </si>
  <si>
    <t>27133000</t>
  </si>
  <si>
    <t>27131000</t>
  </si>
  <si>
    <t>27127000</t>
  </si>
  <si>
    <t>27126000</t>
  </si>
  <si>
    <t>27125000</t>
  </si>
  <si>
    <t>27124000</t>
  </si>
  <si>
    <t>27123000</t>
  </si>
  <si>
    <t>CIAC-Taxable - Extension Deposits</t>
  </si>
  <si>
    <t>27122000</t>
  </si>
  <si>
    <t>27121000</t>
  </si>
  <si>
    <t>27118000</t>
  </si>
  <si>
    <t>27117000</t>
  </si>
  <si>
    <t>27116060</t>
  </si>
  <si>
    <t>27116052</t>
  </si>
  <si>
    <t>27116051</t>
  </si>
  <si>
    <t>27116040</t>
  </si>
  <si>
    <t>27116030</t>
  </si>
  <si>
    <t>27116020</t>
  </si>
  <si>
    <t>27116010</t>
  </si>
  <si>
    <t>27116002</t>
  </si>
  <si>
    <t>27116001</t>
  </si>
  <si>
    <t>27116000</t>
  </si>
  <si>
    <t>27115000</t>
  </si>
  <si>
    <t>27114000</t>
  </si>
  <si>
    <t>27113000</t>
  </si>
  <si>
    <t>27112000</t>
  </si>
  <si>
    <t>27111000</t>
  </si>
  <si>
    <t>FIN 48 Reserve Penalty &amp; Interest - State</t>
  </si>
  <si>
    <t>26581100</t>
  </si>
  <si>
    <t>26581000</t>
  </si>
  <si>
    <t>FIN 48 Reserve Penalty &amp; Interest - Federal</t>
  </si>
  <si>
    <t>26580100</t>
  </si>
  <si>
    <t>26580000</t>
  </si>
  <si>
    <t>26400000</t>
  </si>
  <si>
    <t>Operating Lease Long-Term Liability</t>
  </si>
  <si>
    <t>26300000</t>
  </si>
  <si>
    <t>Accrued Long Term Liability - Interco Credit Fees</t>
  </si>
  <si>
    <t>26282100</t>
  </si>
  <si>
    <t>26282000</t>
  </si>
  <si>
    <t>26281999</t>
  </si>
  <si>
    <t>26281998</t>
  </si>
  <si>
    <t>26281997</t>
  </si>
  <si>
    <t>26281900</t>
  </si>
  <si>
    <t>26281800</t>
  </si>
  <si>
    <t>26281700</t>
  </si>
  <si>
    <t>26281600</t>
  </si>
  <si>
    <t>26281500</t>
  </si>
  <si>
    <t>26281450</t>
  </si>
  <si>
    <t>26281400</t>
  </si>
  <si>
    <t>26281350</t>
  </si>
  <si>
    <t>26281300</t>
  </si>
  <si>
    <t>26281250</t>
  </si>
  <si>
    <t>26281200</t>
  </si>
  <si>
    <t>26281150</t>
  </si>
  <si>
    <t>26281100</t>
  </si>
  <si>
    <t>26237500</t>
  </si>
  <si>
    <t>26237100</t>
  </si>
  <si>
    <t>26234000</t>
  </si>
  <si>
    <t>26233900</t>
  </si>
  <si>
    <t>26233800</t>
  </si>
  <si>
    <t>Deferred Revenue - CAC</t>
  </si>
  <si>
    <t>26233300</t>
  </si>
  <si>
    <t>26233200</t>
  </si>
  <si>
    <t>26233100</t>
  </si>
  <si>
    <t>26233000</t>
  </si>
  <si>
    <t>26221500</t>
  </si>
  <si>
    <t>26221100</t>
  </si>
  <si>
    <t>26221000</t>
  </si>
  <si>
    <t>26216000</t>
  </si>
  <si>
    <t>26215000</t>
  </si>
  <si>
    <t>26214000</t>
  </si>
  <si>
    <t>26212000</t>
  </si>
  <si>
    <t>25710000</t>
  </si>
  <si>
    <t>25700000</t>
  </si>
  <si>
    <t>25689900</t>
  </si>
  <si>
    <t>DSIC Surcharge Overcollection</t>
  </si>
  <si>
    <t>25680163</t>
  </si>
  <si>
    <t>Reg Liab - CAC CP</t>
  </si>
  <si>
    <t>25640100</t>
  </si>
  <si>
    <t>Reg Liab - CIAC CP</t>
  </si>
  <si>
    <t>25640000</t>
  </si>
  <si>
    <t>25635500</t>
  </si>
  <si>
    <t>Reg Liab - Cost of Capital Reserve</t>
  </si>
  <si>
    <t>25634900</t>
  </si>
  <si>
    <t>25634800</t>
  </si>
  <si>
    <t>Reg Liab - Interim Rates</t>
  </si>
  <si>
    <t>25634700</t>
  </si>
  <si>
    <t>25634600</t>
  </si>
  <si>
    <t>25634500</t>
  </si>
  <si>
    <t>25634400</t>
  </si>
  <si>
    <t>25634100</t>
  </si>
  <si>
    <t>25633800</t>
  </si>
  <si>
    <t>25633700</t>
  </si>
  <si>
    <t>25633500</t>
  </si>
  <si>
    <t>25633400</t>
  </si>
  <si>
    <t>25633300</t>
  </si>
  <si>
    <t>25633200</t>
  </si>
  <si>
    <t>25633100</t>
  </si>
  <si>
    <t>25633000</t>
  </si>
  <si>
    <t>25632900</t>
  </si>
  <si>
    <t>25632800</t>
  </si>
  <si>
    <t>25632700</t>
  </si>
  <si>
    <t>Reg Liab - Purchased Sewer Stabilization</t>
  </si>
  <si>
    <t>25632600</t>
  </si>
  <si>
    <t>25632500</t>
  </si>
  <si>
    <t>25632400</t>
  </si>
  <si>
    <t>Reg Liab-Tax Cuts &amp; Jobs Act Customer Refunds - LT</t>
  </si>
  <si>
    <t>25632300</t>
  </si>
  <si>
    <t>25632100</t>
  </si>
  <si>
    <t>25632000</t>
  </si>
  <si>
    <t>Reg Liab-Inc Tax Rec Thru Rates-Reg Asset Reclass</t>
  </si>
  <si>
    <t>25629000</t>
  </si>
  <si>
    <t>25626500</t>
  </si>
  <si>
    <t>25626300</t>
  </si>
  <si>
    <t>25626200</t>
  </si>
  <si>
    <t>25626100</t>
  </si>
  <si>
    <t>25626000</t>
  </si>
  <si>
    <t>Reg Liab-Inc Tax Rec Thru Rates-Other-CA Tax Bal</t>
  </si>
  <si>
    <t>25624100</t>
  </si>
  <si>
    <t>25624000</t>
  </si>
  <si>
    <t>25623200</t>
  </si>
  <si>
    <t>25623100</t>
  </si>
  <si>
    <t>25623000</t>
  </si>
  <si>
    <t>25622000</t>
  </si>
  <si>
    <t>25621200</t>
  </si>
  <si>
    <t>25621100</t>
  </si>
  <si>
    <t>25621000</t>
  </si>
  <si>
    <t>25510500</t>
  </si>
  <si>
    <t>25510400</t>
  </si>
  <si>
    <t>25510300</t>
  </si>
  <si>
    <t>25510200</t>
  </si>
  <si>
    <t>25510100</t>
  </si>
  <si>
    <t>25359000</t>
  </si>
  <si>
    <t>25350000</t>
  </si>
  <si>
    <t>25349000</t>
  </si>
  <si>
    <t>25340000</t>
  </si>
  <si>
    <t>25329000</t>
  </si>
  <si>
    <t>25321500</t>
  </si>
  <si>
    <t>25321000</t>
  </si>
  <si>
    <t>25319000</t>
  </si>
  <si>
    <t>25311500</t>
  </si>
  <si>
    <t>25311000</t>
  </si>
  <si>
    <t>25310000</t>
  </si>
  <si>
    <t>25299900</t>
  </si>
  <si>
    <t>25280000</t>
  </si>
  <si>
    <t>Advances for Construction - Tax Other - FIT</t>
  </si>
  <si>
    <t>25246000</t>
  </si>
  <si>
    <t>Advances for Construction - Tax Hydrants - FIT</t>
  </si>
  <si>
    <t>25245000</t>
  </si>
  <si>
    <t>Advances for Construction - Tax Meters - FIT</t>
  </si>
  <si>
    <t>25244000</t>
  </si>
  <si>
    <t>Advances for Construction - Tax Services - FIT</t>
  </si>
  <si>
    <t>25243000</t>
  </si>
  <si>
    <t>Advances for Construction - Tax Extension Dep -FIT</t>
  </si>
  <si>
    <t>25242000</t>
  </si>
  <si>
    <t>Advances for Construction - Tax Mains - FIT</t>
  </si>
  <si>
    <t>25241000</t>
  </si>
  <si>
    <t>25230000</t>
  </si>
  <si>
    <t>25227000</t>
  </si>
  <si>
    <t>25226000</t>
  </si>
  <si>
    <t>Advances for Construction - Tax Hydrants</t>
  </si>
  <si>
    <t>25225000</t>
  </si>
  <si>
    <t>25224000</t>
  </si>
  <si>
    <t>25223000</t>
  </si>
  <si>
    <t>Advances for Construction - Tax Extension Deposits</t>
  </si>
  <si>
    <t>25222000</t>
  </si>
  <si>
    <t>Advances for Construction - Tax Mains</t>
  </si>
  <si>
    <t>25221000</t>
  </si>
  <si>
    <t>25217000</t>
  </si>
  <si>
    <t>25216000</t>
  </si>
  <si>
    <t>25215000</t>
  </si>
  <si>
    <t>25214000</t>
  </si>
  <si>
    <t>25213000</t>
  </si>
  <si>
    <t>Advances for Construction - NT Extension Deposits</t>
  </si>
  <si>
    <t>25212000</t>
  </si>
  <si>
    <t>25211000</t>
  </si>
  <si>
    <t>24199900</t>
  </si>
  <si>
    <t>24199800</t>
  </si>
  <si>
    <t>Deferred Revenue - Current Portion - Intercompany</t>
  </si>
  <si>
    <t>24199701</t>
  </si>
  <si>
    <t>24199700</t>
  </si>
  <si>
    <t>Liabilities Held For Sale</t>
  </si>
  <si>
    <t>24199600</t>
  </si>
  <si>
    <t>Reg Liab-Tax Cuts &amp; Jobs Act Customer Refunds-Curr</t>
  </si>
  <si>
    <t>24199500</t>
  </si>
  <si>
    <t>Reg Liab-OCL non tax</t>
  </si>
  <si>
    <t>24199200</t>
  </si>
  <si>
    <t>Reg Liab-OCL taxable</t>
  </si>
  <si>
    <t>24199100</t>
  </si>
  <si>
    <t>24175100</t>
  </si>
  <si>
    <t>24174100</t>
  </si>
  <si>
    <t>24174000</t>
  </si>
  <si>
    <t>24173100</t>
  </si>
  <si>
    <t>24173000</t>
  </si>
  <si>
    <t>24172100</t>
  </si>
  <si>
    <t>CFO Sales Tax Texas</t>
  </si>
  <si>
    <t>24172017</t>
  </si>
  <si>
    <t>CFO Sales Tax NY</t>
  </si>
  <si>
    <t>24172016</t>
  </si>
  <si>
    <t>24172015</t>
  </si>
  <si>
    <t>24172014</t>
  </si>
  <si>
    <t>24172013</t>
  </si>
  <si>
    <t>24172012</t>
  </si>
  <si>
    <t>24172011</t>
  </si>
  <si>
    <t>24172010</t>
  </si>
  <si>
    <t>24172009</t>
  </si>
  <si>
    <t>24172008</t>
  </si>
  <si>
    <t>24172007</t>
  </si>
  <si>
    <t>24172006</t>
  </si>
  <si>
    <t>24172005</t>
  </si>
  <si>
    <t>24172004</t>
  </si>
  <si>
    <t>24172003</t>
  </si>
  <si>
    <t>24172002</t>
  </si>
  <si>
    <t>24172001</t>
  </si>
  <si>
    <t>24172000</t>
  </si>
  <si>
    <t>CFO MPWMD User Fee</t>
  </si>
  <si>
    <t>24171026</t>
  </si>
  <si>
    <t>Uncollectible Accounts Bolingbrook</t>
  </si>
  <si>
    <t>24171025</t>
  </si>
  <si>
    <t>Bolingbrook Stormwater A/R</t>
  </si>
  <si>
    <t>24171020</t>
  </si>
  <si>
    <t>Bolingbrook Stormwater Revenue</t>
  </si>
  <si>
    <t>24171019</t>
  </si>
  <si>
    <t>Bolingbrook Treatment/Collection A/R</t>
  </si>
  <si>
    <t>24171018</t>
  </si>
  <si>
    <t>Bolingbrook Treatment/Collection Revenue</t>
  </si>
  <si>
    <t>24171017</t>
  </si>
  <si>
    <t>Bolingbrook Treatment A/R</t>
  </si>
  <si>
    <t>24171016</t>
  </si>
  <si>
    <t>Bolingbrook Treatment Revenue</t>
  </si>
  <si>
    <t>24171015</t>
  </si>
  <si>
    <t>24171014</t>
  </si>
  <si>
    <t>24171013</t>
  </si>
  <si>
    <t>24171012</t>
  </si>
  <si>
    <t>24171011</t>
  </si>
  <si>
    <t>24171009</t>
  </si>
  <si>
    <t>24171006</t>
  </si>
  <si>
    <t>24171005</t>
  </si>
  <si>
    <t>24171001</t>
  </si>
  <si>
    <t>24171000</t>
  </si>
  <si>
    <t>24169999</t>
  </si>
  <si>
    <t>24166000</t>
  </si>
  <si>
    <t>24165000</t>
  </si>
  <si>
    <t>24164000</t>
  </si>
  <si>
    <t>24163000</t>
  </si>
  <si>
    <t>24162000</t>
  </si>
  <si>
    <t>24161000</t>
  </si>
  <si>
    <t>Operating Lease Current Liability</t>
  </si>
  <si>
    <t>24150000</t>
  </si>
  <si>
    <t>24142100</t>
  </si>
  <si>
    <t>24142099</t>
  </si>
  <si>
    <t>24142014</t>
  </si>
  <si>
    <t>24142013</t>
  </si>
  <si>
    <t>24142012</t>
  </si>
  <si>
    <t>24142011</t>
  </si>
  <si>
    <t>24142010</t>
  </si>
  <si>
    <t>24142009</t>
  </si>
  <si>
    <t>24142008</t>
  </si>
  <si>
    <t>24142006</t>
  </si>
  <si>
    <t>24142005</t>
  </si>
  <si>
    <t>WH PR - Federal Political Action Committee Contr</t>
  </si>
  <si>
    <t>24142003</t>
  </si>
  <si>
    <t>24142002</t>
  </si>
  <si>
    <t>24142001</t>
  </si>
  <si>
    <t>24133300</t>
  </si>
  <si>
    <t>24133200</t>
  </si>
  <si>
    <t>24133000</t>
  </si>
  <si>
    <t>24129000</t>
  </si>
  <si>
    <t>24126500</t>
  </si>
  <si>
    <t>24126400</t>
  </si>
  <si>
    <t>24126300</t>
  </si>
  <si>
    <t>24126200</t>
  </si>
  <si>
    <t>24126000</t>
  </si>
  <si>
    <t>24123100</t>
  </si>
  <si>
    <t>24123000</t>
  </si>
  <si>
    <t>24122900</t>
  </si>
  <si>
    <t>24122850</t>
  </si>
  <si>
    <t>24122800</t>
  </si>
  <si>
    <t>24122700</t>
  </si>
  <si>
    <t>24122600</t>
  </si>
  <si>
    <t>24122500</t>
  </si>
  <si>
    <t>24121900</t>
  </si>
  <si>
    <t>24121800</t>
  </si>
  <si>
    <t>24121500</t>
  </si>
  <si>
    <t>24121400</t>
  </si>
  <si>
    <t>Accrued Health Savings Account</t>
  </si>
  <si>
    <t>24121300</t>
  </si>
  <si>
    <t>24121200</t>
  </si>
  <si>
    <t>24121100</t>
  </si>
  <si>
    <t>24121000</t>
  </si>
  <si>
    <t>24120800</t>
  </si>
  <si>
    <t>Accrued Insurance Unfunded</t>
  </si>
  <si>
    <t>24120720</t>
  </si>
  <si>
    <t>24120710</t>
  </si>
  <si>
    <t>24120700</t>
  </si>
  <si>
    <t>24120699</t>
  </si>
  <si>
    <t>24120600</t>
  </si>
  <si>
    <t>24120300</t>
  </si>
  <si>
    <t>24120200</t>
  </si>
  <si>
    <t>24120100</t>
  </si>
  <si>
    <t>24120000</t>
  </si>
  <si>
    <t>23750000</t>
  </si>
  <si>
    <t>23740000</t>
  </si>
  <si>
    <t>23730000</t>
  </si>
  <si>
    <t>23720000</t>
  </si>
  <si>
    <t>23659000</t>
  </si>
  <si>
    <t>23654310</t>
  </si>
  <si>
    <t>23654300</t>
  </si>
  <si>
    <t>23654200</t>
  </si>
  <si>
    <t>23654110</t>
  </si>
  <si>
    <t>23654100</t>
  </si>
  <si>
    <t>23654000</t>
  </si>
  <si>
    <t>23653000</t>
  </si>
  <si>
    <t>Accrued Tax - Local</t>
  </si>
  <si>
    <t>23652400</t>
  </si>
  <si>
    <t>23652300</t>
  </si>
  <si>
    <t>23652200</t>
  </si>
  <si>
    <t>23652100</t>
  </si>
  <si>
    <t>23652000</t>
  </si>
  <si>
    <t>23651100</t>
  </si>
  <si>
    <t>23651000</t>
  </si>
  <si>
    <t>23632500</t>
  </si>
  <si>
    <t>23632000</t>
  </si>
  <si>
    <t>23631500</t>
  </si>
  <si>
    <t>23631000</t>
  </si>
  <si>
    <t>23622500</t>
  </si>
  <si>
    <t>23622000</t>
  </si>
  <si>
    <t>23621500</t>
  </si>
  <si>
    <t>23621000</t>
  </si>
  <si>
    <t>23599999</t>
  </si>
  <si>
    <t>CFO - Water Heater PP Interco - CIS Reconciliation</t>
  </si>
  <si>
    <t>23540601</t>
  </si>
  <si>
    <t>CFO - Leak Detection PP Interco-CIS Reconciliation</t>
  </si>
  <si>
    <t>23540501</t>
  </si>
  <si>
    <t>23540401</t>
  </si>
  <si>
    <t>23540400</t>
  </si>
  <si>
    <t>23540301</t>
  </si>
  <si>
    <t>23540300</t>
  </si>
  <si>
    <t>23540201</t>
  </si>
  <si>
    <t>23540200</t>
  </si>
  <si>
    <t>23540101</t>
  </si>
  <si>
    <t>23540100</t>
  </si>
  <si>
    <t>23540001</t>
  </si>
  <si>
    <t>23540000</t>
  </si>
  <si>
    <t>23530601</t>
  </si>
  <si>
    <t>CFO - Water Heater Protection Plan Interco</t>
  </si>
  <si>
    <t>23530600</t>
  </si>
  <si>
    <t>CFO - Leak Detection Protection Plan Interco</t>
  </si>
  <si>
    <t>23530500</t>
  </si>
  <si>
    <t>23530400</t>
  </si>
  <si>
    <t>23530300</t>
  </si>
  <si>
    <t>23530200</t>
  </si>
  <si>
    <t>23530100</t>
  </si>
  <si>
    <t>23530000</t>
  </si>
  <si>
    <t>23520001</t>
  </si>
  <si>
    <t>23520000</t>
  </si>
  <si>
    <t>23510600</t>
  </si>
  <si>
    <t>23510500</t>
  </si>
  <si>
    <t>23510000</t>
  </si>
  <si>
    <t>23439000</t>
  </si>
  <si>
    <t>23436000</t>
  </si>
  <si>
    <t>23435000</t>
  </si>
  <si>
    <t>23431000</t>
  </si>
  <si>
    <t>23430900</t>
  </si>
  <si>
    <t>23430700</t>
  </si>
  <si>
    <t>23430600</t>
  </si>
  <si>
    <t>23430000</t>
  </si>
  <si>
    <t>23420000</t>
  </si>
  <si>
    <t>23412500</t>
  </si>
  <si>
    <t>23412200</t>
  </si>
  <si>
    <t>A/P Clearing</t>
  </si>
  <si>
    <t>23412000</t>
  </si>
  <si>
    <t>23411500</t>
  </si>
  <si>
    <t>23411400</t>
  </si>
  <si>
    <t>PCard Distributed-Clearing for Mapped Transactions</t>
  </si>
  <si>
    <t>23411001</t>
  </si>
  <si>
    <t>23411000</t>
  </si>
  <si>
    <t>23410999</t>
  </si>
  <si>
    <t>23410100</t>
  </si>
  <si>
    <t>23410000</t>
  </si>
  <si>
    <t>23130000</t>
  </si>
  <si>
    <t>23129000</t>
  </si>
  <si>
    <t>23121006</t>
  </si>
  <si>
    <t>23121005</t>
  </si>
  <si>
    <t>23121004</t>
  </si>
  <si>
    <t>23121003</t>
  </si>
  <si>
    <t>23121002</t>
  </si>
  <si>
    <t>23121001</t>
  </si>
  <si>
    <t>23121000</t>
  </si>
  <si>
    <t>23120000</t>
  </si>
  <si>
    <t>23110500</t>
  </si>
  <si>
    <t>23110000</t>
  </si>
  <si>
    <t>22235000</t>
  </si>
  <si>
    <t>22230000</t>
  </si>
  <si>
    <t>22215000</t>
  </si>
  <si>
    <t>Bonds-FV Hedge Current Portion</t>
  </si>
  <si>
    <t>22210200</t>
  </si>
  <si>
    <t>22210000</t>
  </si>
  <si>
    <t>22135000</t>
  </si>
  <si>
    <t>22130000</t>
  </si>
  <si>
    <t>22115000</t>
  </si>
  <si>
    <t>Unamortized Debt Expense - Non-Reg Intercompany</t>
  </si>
  <si>
    <t>22110650</t>
  </si>
  <si>
    <t>Unamortized Debt Expense - Non-Reg</t>
  </si>
  <si>
    <t>22110600</t>
  </si>
  <si>
    <t>22110500</t>
  </si>
  <si>
    <t>22110400</t>
  </si>
  <si>
    <t>LT Debt - Discount Outside</t>
  </si>
  <si>
    <t>22110300</t>
  </si>
  <si>
    <t>22110200</t>
  </si>
  <si>
    <t>22110100</t>
  </si>
  <si>
    <t>22110000</t>
  </si>
  <si>
    <t>21550000</t>
  </si>
  <si>
    <t>21510100</t>
  </si>
  <si>
    <t>21510000</t>
  </si>
  <si>
    <t>21420000</t>
  </si>
  <si>
    <t>21410000</t>
  </si>
  <si>
    <t>Accumulated Comprehensive Income-Hedge Interco-Tax</t>
  </si>
  <si>
    <t>21300315</t>
  </si>
  <si>
    <t>Accumulated Comprehensive Income - Hedge - Tax</t>
  </si>
  <si>
    <t>21300310</t>
  </si>
  <si>
    <t>Accumulated Comprehensive Income - Hedge - Interco</t>
  </si>
  <si>
    <t>21300305</t>
  </si>
  <si>
    <t>Accumulated Comprehensive Income - Hedge</t>
  </si>
  <si>
    <t>21300300</t>
  </si>
  <si>
    <t>Accumulated Comprehensive Income - Pension - Tax</t>
  </si>
  <si>
    <t>21300210</t>
  </si>
  <si>
    <t>Accumulated Comprehensive Income - Pension</t>
  </si>
  <si>
    <t>21300200</t>
  </si>
  <si>
    <t>Accumulated Comprehensive Income - Tax</t>
  </si>
  <si>
    <t>21300010</t>
  </si>
  <si>
    <t>21300000</t>
  </si>
  <si>
    <t>21200000</t>
  </si>
  <si>
    <t>Retained Earnings Retro Accounting Adjustments</t>
  </si>
  <si>
    <t>21025000</t>
  </si>
  <si>
    <t>21024000</t>
  </si>
  <si>
    <t>21021000</t>
  </si>
  <si>
    <t>20540000</t>
  </si>
  <si>
    <t>20530700</t>
  </si>
  <si>
    <t>20530650</t>
  </si>
  <si>
    <t>20530600</t>
  </si>
  <si>
    <t>20530500</t>
  </si>
  <si>
    <t>20530400</t>
  </si>
  <si>
    <t>20530300</t>
  </si>
  <si>
    <t>20530200</t>
  </si>
  <si>
    <t>20530100</t>
  </si>
  <si>
    <t>20530000</t>
  </si>
  <si>
    <t>20520000</t>
  </si>
  <si>
    <t>20510000</t>
  </si>
  <si>
    <t>20130000</t>
  </si>
  <si>
    <t>20120000</t>
  </si>
  <si>
    <t>20110000</t>
  </si>
  <si>
    <t>18800000</t>
  </si>
  <si>
    <t>LT Asset - OPEB</t>
  </si>
  <si>
    <t>18791000</t>
  </si>
  <si>
    <t>18790000</t>
  </si>
  <si>
    <t>LT Asset - Operating Lease Right-Of-Use Assets</t>
  </si>
  <si>
    <t>18750000</t>
  </si>
  <si>
    <t>LT Asset - Tax Credits Receivable</t>
  </si>
  <si>
    <t>18743000</t>
  </si>
  <si>
    <t>18742100</t>
  </si>
  <si>
    <t>18742000</t>
  </si>
  <si>
    <t>18741000</t>
  </si>
  <si>
    <t>18740000</t>
  </si>
  <si>
    <t>18720000</t>
  </si>
  <si>
    <t>LT Asset - Deferred Transaction Costs</t>
  </si>
  <si>
    <t>18717000</t>
  </si>
  <si>
    <t>18715700</t>
  </si>
  <si>
    <t>LT Asset - Unamort Debt Exp - Revolver</t>
  </si>
  <si>
    <t>18715600</t>
  </si>
  <si>
    <t>18715500</t>
  </si>
  <si>
    <t>18715000</t>
  </si>
  <si>
    <t>Income Tax Receivable - State - Long Term</t>
  </si>
  <si>
    <t>18714300</t>
  </si>
  <si>
    <t>Income Tax Receivable - Federal - Long Term</t>
  </si>
  <si>
    <t>18714200</t>
  </si>
  <si>
    <t>18713000</t>
  </si>
  <si>
    <t>LT Asset - Deferred Comp Trust</t>
  </si>
  <si>
    <t>18712500</t>
  </si>
  <si>
    <t>18712000</t>
  </si>
  <si>
    <t>18711000</t>
  </si>
  <si>
    <t>18689900</t>
  </si>
  <si>
    <t>Reg Asset - Sacrament VCMRRAMA</t>
  </si>
  <si>
    <t>18680395</t>
  </si>
  <si>
    <t>Reg Asset - Cust Lead Svc Line Replacements</t>
  </si>
  <si>
    <t>18680333</t>
  </si>
  <si>
    <t>Reg Asset - EITF</t>
  </si>
  <si>
    <t>18680295</t>
  </si>
  <si>
    <t>Geyserville Acquisition Special Facilities Fees</t>
  </si>
  <si>
    <t>18680226</t>
  </si>
  <si>
    <t>Lamanda Well Redrill Project Memo Account</t>
  </si>
  <si>
    <t>18680225</t>
  </si>
  <si>
    <t>Group Insurance Balancing Account</t>
  </si>
  <si>
    <t>18680224</t>
  </si>
  <si>
    <t>Reg Asset - Credit Card Pilot Program Memo Account</t>
  </si>
  <si>
    <t>18680223</t>
  </si>
  <si>
    <t>Reg Asset - Chromium 6 Memo Account</t>
  </si>
  <si>
    <t>18680222</t>
  </si>
  <si>
    <t>Reg Asset - CIAC Meadowbrook</t>
  </si>
  <si>
    <t>18680221</t>
  </si>
  <si>
    <t>Reg Asset - Catastrophic Event Memo Account</t>
  </si>
  <si>
    <t>18680220</t>
  </si>
  <si>
    <t>Regulatory Asset - Make Whole Premium External</t>
  </si>
  <si>
    <t>18680219</t>
  </si>
  <si>
    <t>Regulatory Asset - "Make-Whole Premium"</t>
  </si>
  <si>
    <t>18680218</t>
  </si>
  <si>
    <t>Reg Asset - School Lead Testing</t>
  </si>
  <si>
    <t>18680217</t>
  </si>
  <si>
    <t>Reg Asset - Comprehensive Tax Study</t>
  </si>
  <si>
    <t>18680216</t>
  </si>
  <si>
    <t>Reg Asset - Rogue Creek Water &amp; Sewer System</t>
  </si>
  <si>
    <t>18680215</t>
  </si>
  <si>
    <t>Reg Asset - CAC DIT</t>
  </si>
  <si>
    <t>18680214</t>
  </si>
  <si>
    <t>Reg Asset - CIAC DIT</t>
  </si>
  <si>
    <t>18680213</t>
  </si>
  <si>
    <t>Deferred Charges - CAC GrossUp</t>
  </si>
  <si>
    <t>18680212</t>
  </si>
  <si>
    <t>Reg Asset - Conservation/Rationing</t>
  </si>
  <si>
    <t>18680211</t>
  </si>
  <si>
    <t>18680210</t>
  </si>
  <si>
    <t>Reg Asset - Seaside Basin Adjudication</t>
  </si>
  <si>
    <t>18680206</t>
  </si>
  <si>
    <t>Reg Asset - ICBA</t>
  </si>
  <si>
    <t>18680205</t>
  </si>
  <si>
    <t>Reg Asset-Warsaw WTP Comprehensive Planning Study</t>
  </si>
  <si>
    <t>18680204</t>
  </si>
  <si>
    <t>Reg Asset-Wabash Billing Phase-in</t>
  </si>
  <si>
    <t>18680203</t>
  </si>
  <si>
    <t>Reg Asset -Northwest Billing Charge</t>
  </si>
  <si>
    <t>18680202</t>
  </si>
  <si>
    <t>RA - Do not use-acct has diff meaning in Hyperion</t>
  </si>
  <si>
    <t>18680201</t>
  </si>
  <si>
    <t>18680200</t>
  </si>
  <si>
    <t>18680199</t>
  </si>
  <si>
    <t>18680198</t>
  </si>
  <si>
    <t>18680197</t>
  </si>
  <si>
    <t>18680196</t>
  </si>
  <si>
    <t>18680195</t>
  </si>
  <si>
    <t>18680194</t>
  </si>
  <si>
    <t>18680192</t>
  </si>
  <si>
    <t>18680191</t>
  </si>
  <si>
    <t>18680172</t>
  </si>
  <si>
    <t>18680171</t>
  </si>
  <si>
    <t>18680170</t>
  </si>
  <si>
    <t>18680169</t>
  </si>
  <si>
    <t>18680168</t>
  </si>
  <si>
    <t>18680167</t>
  </si>
  <si>
    <t>18680166</t>
  </si>
  <si>
    <t>18680165</t>
  </si>
  <si>
    <t>18680164</t>
  </si>
  <si>
    <t>18680163</t>
  </si>
  <si>
    <t>Reg Asset- Closing Costs</t>
  </si>
  <si>
    <t>18680162</t>
  </si>
  <si>
    <t>Reg Asset- Environmental Costs</t>
  </si>
  <si>
    <t>18680161</t>
  </si>
  <si>
    <t>18680160</t>
  </si>
  <si>
    <t>Reg Asset- Water Energy Nexus Deferred Costs</t>
  </si>
  <si>
    <t>18680156</t>
  </si>
  <si>
    <t>Reg Asset- Consulting Fees</t>
  </si>
  <si>
    <t>18680155</t>
  </si>
  <si>
    <t>18680154</t>
  </si>
  <si>
    <t>18680153</t>
  </si>
  <si>
    <t>18680152</t>
  </si>
  <si>
    <t>18680151</t>
  </si>
  <si>
    <t>Reg Asset- Low Income Balancing</t>
  </si>
  <si>
    <t>18680150</t>
  </si>
  <si>
    <t>18680147</t>
  </si>
  <si>
    <t>18680145</t>
  </si>
  <si>
    <t>18680144</t>
  </si>
  <si>
    <t>Reg Asset - Cease &amp; Desist Penalty</t>
  </si>
  <si>
    <t>18680143</t>
  </si>
  <si>
    <t>18680142</t>
  </si>
  <si>
    <t>18680141</t>
  </si>
  <si>
    <t>Carmel River Mitigatigation Balancing Account</t>
  </si>
  <si>
    <t>18680140</t>
  </si>
  <si>
    <t>Reg Asset - Deferred State Income Tax -Rate Change</t>
  </si>
  <si>
    <t>18680138</t>
  </si>
  <si>
    <t>18680137</t>
  </si>
  <si>
    <t>18680136</t>
  </si>
  <si>
    <t>18680135</t>
  </si>
  <si>
    <t>18680134</t>
  </si>
  <si>
    <t>18680132</t>
  </si>
  <si>
    <t>18680131</t>
  </si>
  <si>
    <t>18680127</t>
  </si>
  <si>
    <t>18680126</t>
  </si>
  <si>
    <t>18680113</t>
  </si>
  <si>
    <t>18680111</t>
  </si>
  <si>
    <t>18680103</t>
  </si>
  <si>
    <t>18680102</t>
  </si>
  <si>
    <t>18680101</t>
  </si>
  <si>
    <t>18680100</t>
  </si>
  <si>
    <t>18680000</t>
  </si>
  <si>
    <t>18662000</t>
  </si>
  <si>
    <t>18661500</t>
  </si>
  <si>
    <t>18661000</t>
  </si>
  <si>
    <t>18650000</t>
  </si>
  <si>
    <t>18642000</t>
  </si>
  <si>
    <t>18641000</t>
  </si>
  <si>
    <t>18632000</t>
  </si>
  <si>
    <t>18631000</t>
  </si>
  <si>
    <t>Reg Asset - Deferred Rate Case Surcharge</t>
  </si>
  <si>
    <t>18621000</t>
  </si>
  <si>
    <t>18620000</t>
  </si>
  <si>
    <t>18610000</t>
  </si>
  <si>
    <t>18506000</t>
  </si>
  <si>
    <t>18505500</t>
  </si>
  <si>
    <t>18505100</t>
  </si>
  <si>
    <t>18505000</t>
  </si>
  <si>
    <t>18504500</t>
  </si>
  <si>
    <t>18504000</t>
  </si>
  <si>
    <t>18503500</t>
  </si>
  <si>
    <t>18503000</t>
  </si>
  <si>
    <t>Income Tax Receivable - State - Current Portion</t>
  </si>
  <si>
    <t>17430000</t>
  </si>
  <si>
    <t>Income Tax Receivable - Federal - Current Portion</t>
  </si>
  <si>
    <t>17420000</t>
  </si>
  <si>
    <t>16550010</t>
  </si>
  <si>
    <t>16550000</t>
  </si>
  <si>
    <t>16540000</t>
  </si>
  <si>
    <t>16530000</t>
  </si>
  <si>
    <t>Prepaid Insurance - Intercompany</t>
  </si>
  <si>
    <t>16525000</t>
  </si>
  <si>
    <t>16520000</t>
  </si>
  <si>
    <t>16510001</t>
  </si>
  <si>
    <t>16510000</t>
  </si>
  <si>
    <t>Assets Held For Sale</t>
  </si>
  <si>
    <t>16430000</t>
  </si>
  <si>
    <t>Current Portion Tax Credits Receivable</t>
  </si>
  <si>
    <t>16421000</t>
  </si>
  <si>
    <t>16420000</t>
  </si>
  <si>
    <t>16410000</t>
  </si>
  <si>
    <t>15199999</t>
  </si>
  <si>
    <t>15199998</t>
  </si>
  <si>
    <t>15199997</t>
  </si>
  <si>
    <t>15140000</t>
  </si>
  <si>
    <t>15130000</t>
  </si>
  <si>
    <t>15120000</t>
  </si>
  <si>
    <t>15110000</t>
  </si>
  <si>
    <t>14820000</t>
  </si>
  <si>
    <t>14810000</t>
  </si>
  <si>
    <t>14690000</t>
  </si>
  <si>
    <t>14670000</t>
  </si>
  <si>
    <t>14640000</t>
  </si>
  <si>
    <t>14620000</t>
  </si>
  <si>
    <t>14619999</t>
  </si>
  <si>
    <t>14613100</t>
  </si>
  <si>
    <t>14613000</t>
  </si>
  <si>
    <t>14612500</t>
  </si>
  <si>
    <t>14611500</t>
  </si>
  <si>
    <t>14611300</t>
  </si>
  <si>
    <t>14611200</t>
  </si>
  <si>
    <t>14611000</t>
  </si>
  <si>
    <t>14610099</t>
  </si>
  <si>
    <t>14610000</t>
  </si>
  <si>
    <t>14575500</t>
  </si>
  <si>
    <t>14575000</t>
  </si>
  <si>
    <t>14574000</t>
  </si>
  <si>
    <t>14573000</t>
  </si>
  <si>
    <t>14572000</t>
  </si>
  <si>
    <t>14571000</t>
  </si>
  <si>
    <t>14512500</t>
  </si>
  <si>
    <t>14512000</t>
  </si>
  <si>
    <t>A/R Assoc Cos - Service Settlement AWE CSG</t>
  </si>
  <si>
    <t>14511084</t>
  </si>
  <si>
    <t>A/R Assoc Cos - Service Settlement AWE MSG</t>
  </si>
  <si>
    <t>14511083</t>
  </si>
  <si>
    <t>A/R Assoc Cos - Service Settlement AWE Pivotal</t>
  </si>
  <si>
    <t>14511082</t>
  </si>
  <si>
    <t>A/R Assoc Cos - Service Settlement AWE HOS</t>
  </si>
  <si>
    <t>14511081</t>
  </si>
  <si>
    <t>A/R Assoc Cos - One Water Street LLC</t>
  </si>
  <si>
    <t>14511076</t>
  </si>
  <si>
    <t>A/R Assoc Cos - SC AIW</t>
  </si>
  <si>
    <t>14511070</t>
  </si>
  <si>
    <t>14511056</t>
  </si>
  <si>
    <t>14511055</t>
  </si>
  <si>
    <t>14511054</t>
  </si>
  <si>
    <t>14511039</t>
  </si>
  <si>
    <t>14511031</t>
  </si>
  <si>
    <t>14511001</t>
  </si>
  <si>
    <t>14511000</t>
  </si>
  <si>
    <t>14510999</t>
  </si>
  <si>
    <t>14510600</t>
  </si>
  <si>
    <t>14510100</t>
  </si>
  <si>
    <t>14510000</t>
  </si>
  <si>
    <t>14400001</t>
  </si>
  <si>
    <t>14400000</t>
  </si>
  <si>
    <t>14399999</t>
  </si>
  <si>
    <t>14300001</t>
  </si>
  <si>
    <t>14300000</t>
  </si>
  <si>
    <t>14100999</t>
  </si>
  <si>
    <t>14100998</t>
  </si>
  <si>
    <t>14100099</t>
  </si>
  <si>
    <t>14100020</t>
  </si>
  <si>
    <t>14100010</t>
  </si>
  <si>
    <t>14100003</t>
  </si>
  <si>
    <t>14100002</t>
  </si>
  <si>
    <t>14100001</t>
  </si>
  <si>
    <t>14100000</t>
  </si>
  <si>
    <t>13800000</t>
  </si>
  <si>
    <t>13700000</t>
  </si>
  <si>
    <t>13600000</t>
  </si>
  <si>
    <t>13500000</t>
  </si>
  <si>
    <t>13199999</t>
  </si>
  <si>
    <t>13199006</t>
  </si>
  <si>
    <t>13199005</t>
  </si>
  <si>
    <t>13199004</t>
  </si>
  <si>
    <t>13199003</t>
  </si>
  <si>
    <t>13199002</t>
  </si>
  <si>
    <t>13199001</t>
  </si>
  <si>
    <t>M&amp;T Bank (Manufacturers and Trade) - Mt Ebo Sewer</t>
  </si>
  <si>
    <t>13183802</t>
  </si>
  <si>
    <t>M&amp;T Bank (Manufacturers and Trade) - Mt Ebo Water</t>
  </si>
  <si>
    <t>13183801</t>
  </si>
  <si>
    <t>Burke &amp; Herbert VA - Payroll</t>
  </si>
  <si>
    <t>13182700</t>
  </si>
  <si>
    <t>13182600</t>
  </si>
  <si>
    <t>13182516</t>
  </si>
  <si>
    <t>13182500</t>
  </si>
  <si>
    <t>FNCB-Scranton Sewer Cust Lockbox CIS</t>
  </si>
  <si>
    <t>13182419</t>
  </si>
  <si>
    <t>13182417</t>
  </si>
  <si>
    <t>13182401</t>
  </si>
  <si>
    <t>13182400</t>
  </si>
  <si>
    <t>Fulton Bank - Roxbury Acquisition</t>
  </si>
  <si>
    <t>13181802</t>
  </si>
  <si>
    <t>Provident Bank - Shorelands Acquisition</t>
  </si>
  <si>
    <t>13181801</t>
  </si>
  <si>
    <t>13181800</t>
  </si>
  <si>
    <t>US Bank MO-Main for Tri-State in Branson, MO</t>
  </si>
  <si>
    <t>13181700</t>
  </si>
  <si>
    <t>Union Bank - Rio Acquisition</t>
  </si>
  <si>
    <t>13181500</t>
  </si>
  <si>
    <t>US Bank for Kiosk in Owenton, KY</t>
  </si>
  <si>
    <t>13181220</t>
  </si>
  <si>
    <t>Community Trust Bank KY - FiServ (aka CheckFree)</t>
  </si>
  <si>
    <t>13181211</t>
  </si>
  <si>
    <t>13180417</t>
  </si>
  <si>
    <t>13180408</t>
  </si>
  <si>
    <t>13180402</t>
  </si>
  <si>
    <t>13180401</t>
  </si>
  <si>
    <t>13180400</t>
  </si>
  <si>
    <t>13180317</t>
  </si>
  <si>
    <t>13180316</t>
  </si>
  <si>
    <t>13180308</t>
  </si>
  <si>
    <t>13180302</t>
  </si>
  <si>
    <t>13180301</t>
  </si>
  <si>
    <t>13180300</t>
  </si>
  <si>
    <t>13180217</t>
  </si>
  <si>
    <t>13180216</t>
  </si>
  <si>
    <t>13180208</t>
  </si>
  <si>
    <t>13180202</t>
  </si>
  <si>
    <t>13180201</t>
  </si>
  <si>
    <t>13180200</t>
  </si>
  <si>
    <t>13180117</t>
  </si>
  <si>
    <t>13180116</t>
  </si>
  <si>
    <t>13180115</t>
  </si>
  <si>
    <t>13180114</t>
  </si>
  <si>
    <t>13180113</t>
  </si>
  <si>
    <t>13180112</t>
  </si>
  <si>
    <t>13180111</t>
  </si>
  <si>
    <t>13180109</t>
  </si>
  <si>
    <t>13180108</t>
  </si>
  <si>
    <t>13180106</t>
  </si>
  <si>
    <t>13180101</t>
  </si>
  <si>
    <t>13180100</t>
  </si>
  <si>
    <t>USBANK Concentration Clearing Account</t>
  </si>
  <si>
    <t>13164699</t>
  </si>
  <si>
    <t>USBANK Concentration Account</t>
  </si>
  <si>
    <t>13164600</t>
  </si>
  <si>
    <t>US Bank WV - Client Services-3rd Party Collections</t>
  </si>
  <si>
    <t>13162818</t>
  </si>
  <si>
    <t>US Bank WV - Misc Debits/Credits</t>
  </si>
  <si>
    <t>13162817</t>
  </si>
  <si>
    <t>US Bank WV - NSF Return Payments</t>
  </si>
  <si>
    <t>13162816</t>
  </si>
  <si>
    <t>US Bank WV - Customer A/R Ck Conversion</t>
  </si>
  <si>
    <t>13162815</t>
  </si>
  <si>
    <t>US Bank WV -Credit Card &amp; Echeck E-Returns</t>
  </si>
  <si>
    <t>13162814</t>
  </si>
  <si>
    <t>US Bank WV - E-Return - US Bank</t>
  </si>
  <si>
    <t>13162813</t>
  </si>
  <si>
    <t>US Bank WV - Penn Credit</t>
  </si>
  <si>
    <t>13162812</t>
  </si>
  <si>
    <t>US Bank WV - FiServ (aka CheckFree)</t>
  </si>
  <si>
    <t>13162811</t>
  </si>
  <si>
    <t>US Bank WV - Firstech Collections</t>
  </si>
  <si>
    <t>13162810</t>
  </si>
  <si>
    <t>US Bank WV - Credit Card and E-Checks</t>
  </si>
  <si>
    <t>13162809</t>
  </si>
  <si>
    <t>US Bank WV - Customer Lockbox</t>
  </si>
  <si>
    <t>13162808</t>
  </si>
  <si>
    <t>US Bank WV - Customer ACH</t>
  </si>
  <si>
    <t>13162807</t>
  </si>
  <si>
    <t>US Bank WV - Customer Direct Debit</t>
  </si>
  <si>
    <t>13162806</t>
  </si>
  <si>
    <t>US Bank WV - Main</t>
  </si>
  <si>
    <t>13162800</t>
  </si>
  <si>
    <t>US Bank VA - Client Services-3rd Party Collections</t>
  </si>
  <si>
    <t>13162718</t>
  </si>
  <si>
    <t>US Bank VA - Misc Debits/Credits</t>
  </si>
  <si>
    <t>13162717</t>
  </si>
  <si>
    <t>US Bank VA - NSF Return Payments</t>
  </si>
  <si>
    <t>13162716</t>
  </si>
  <si>
    <t>US Bank VA - Customer A/R Ck Conversion</t>
  </si>
  <si>
    <t>13162715</t>
  </si>
  <si>
    <t>US Bank VA -Credit Card &amp; Echeck E-Returns</t>
  </si>
  <si>
    <t>13162714</t>
  </si>
  <si>
    <t>US Bank VA - E-Return - US Bank</t>
  </si>
  <si>
    <t>13162713</t>
  </si>
  <si>
    <t>US Bank VA - Penn Credit</t>
  </si>
  <si>
    <t>13162712</t>
  </si>
  <si>
    <t>US Bank VA - FiServ (aka CheckFree)</t>
  </si>
  <si>
    <t>13162711</t>
  </si>
  <si>
    <t>US Bank VA - Firstech Collections</t>
  </si>
  <si>
    <t>13162710</t>
  </si>
  <si>
    <t>USBK VA-CC &amp; ECheck</t>
  </si>
  <si>
    <t>13162709</t>
  </si>
  <si>
    <t>US Bank VA - Customer Lockbox</t>
  </si>
  <si>
    <t>13162708</t>
  </si>
  <si>
    <t>US Bank VA - Customer ACH</t>
  </si>
  <si>
    <t>13162707</t>
  </si>
  <si>
    <t>US Bank VA - Customer Direct Debit</t>
  </si>
  <si>
    <t>13162706</t>
  </si>
  <si>
    <t>US Bank VA - Main</t>
  </si>
  <si>
    <t>13162700</t>
  </si>
  <si>
    <t>US Bank TN - Client Services-3rd Party Collections</t>
  </si>
  <si>
    <t>13162618</t>
  </si>
  <si>
    <t>US Bank TN - Misc Debits/Credits</t>
  </si>
  <si>
    <t>13162617</t>
  </si>
  <si>
    <t>US Bank TN - NSF Return Payments</t>
  </si>
  <si>
    <t>13162616</t>
  </si>
  <si>
    <t>US Bank TN - Customer A/R Ck Conversion</t>
  </si>
  <si>
    <t>13162615</t>
  </si>
  <si>
    <t>US Bank TN -Credit Card &amp; Echeck E-Returns</t>
  </si>
  <si>
    <t>13162614</t>
  </si>
  <si>
    <t>US Bank TN - E-Return - US Bank</t>
  </si>
  <si>
    <t>13162613</t>
  </si>
  <si>
    <t>US Bank TN - Penn Credit</t>
  </si>
  <si>
    <t>13162612</t>
  </si>
  <si>
    <t>US Bank TN - FiServ (aka CheckFree)</t>
  </si>
  <si>
    <t>13162611</t>
  </si>
  <si>
    <t>US Bank TN - Firstech Collections</t>
  </si>
  <si>
    <t>13162610</t>
  </si>
  <si>
    <t>US Bank TN - Credit Card and E-Checks</t>
  </si>
  <si>
    <t>13162609</t>
  </si>
  <si>
    <t>US Bank TN - Customer Lockbox</t>
  </si>
  <si>
    <t>13162608</t>
  </si>
  <si>
    <t>US Bank TN - Customer ACH</t>
  </si>
  <si>
    <t>13162607</t>
  </si>
  <si>
    <t>US Bank TN - Customer Direct Debit</t>
  </si>
  <si>
    <t>13162606</t>
  </si>
  <si>
    <t>US Bank TN - Main</t>
  </si>
  <si>
    <t>13162600</t>
  </si>
  <si>
    <t>US Bank IL - Client Services-3rd Party Collections</t>
  </si>
  <si>
    <t>13162518</t>
  </si>
  <si>
    <t>US Bank IL - Misc Debits/Credits</t>
  </si>
  <si>
    <t>13162517</t>
  </si>
  <si>
    <t>US Bank IL - NSF Return Payments</t>
  </si>
  <si>
    <t>13162516</t>
  </si>
  <si>
    <t>US Bank IL - Customer A/R Ck Conversion</t>
  </si>
  <si>
    <t>13162515</t>
  </si>
  <si>
    <t>US Bank IL -Credit Card &amp; Echeck E-Returns</t>
  </si>
  <si>
    <t>13162514</t>
  </si>
  <si>
    <t>US Bank IL - E-Return - US Bank</t>
  </si>
  <si>
    <t>13162513</t>
  </si>
  <si>
    <t>US Bank IL - Penn Credit</t>
  </si>
  <si>
    <t>13162512</t>
  </si>
  <si>
    <t>US Bank IL - FiServ (aka CheckFree)</t>
  </si>
  <si>
    <t>13162511</t>
  </si>
  <si>
    <t>US Bank IL - Firstech Collections</t>
  </si>
  <si>
    <t>13162510</t>
  </si>
  <si>
    <t>US Bank IL - Credit Card and E-Checks</t>
  </si>
  <si>
    <t>13162509</t>
  </si>
  <si>
    <t>US Bank IL - Customer Lockbox</t>
  </si>
  <si>
    <t>13162508</t>
  </si>
  <si>
    <t>US Bank IL - Customer ACH</t>
  </si>
  <si>
    <t>13162507</t>
  </si>
  <si>
    <t>US Bank IL - Customer Direct Debit</t>
  </si>
  <si>
    <t>13162506</t>
  </si>
  <si>
    <t>US Bank IL - Main</t>
  </si>
  <si>
    <t>13162500</t>
  </si>
  <si>
    <t>US Bank MO - Client Services-3rd Party Collections</t>
  </si>
  <si>
    <t>13161718</t>
  </si>
  <si>
    <t>US Bank MO - Misc Debits/Credits</t>
  </si>
  <si>
    <t>13161717</t>
  </si>
  <si>
    <t>US Bank MO - NSF Return Payments</t>
  </si>
  <si>
    <t>13161716</t>
  </si>
  <si>
    <t>US Bank MO - Customer A/R Ck Conversion</t>
  </si>
  <si>
    <t>13161715</t>
  </si>
  <si>
    <t>US Bank MO -Credit Card &amp; Echeck E-Returns</t>
  </si>
  <si>
    <t>13161714</t>
  </si>
  <si>
    <t>US Bank MO - E-Return - US Bank</t>
  </si>
  <si>
    <t>13161713</t>
  </si>
  <si>
    <t>US Bank MO - Penn Credit</t>
  </si>
  <si>
    <t>13161712</t>
  </si>
  <si>
    <t>US Bank MO - FiServ (aka CheckFree)</t>
  </si>
  <si>
    <t>13161711</t>
  </si>
  <si>
    <t>US Bank MO - Firstech Collections</t>
  </si>
  <si>
    <t>13161710</t>
  </si>
  <si>
    <t>US Bank MO - Credit Card and E-Checks</t>
  </si>
  <si>
    <t>13161709</t>
  </si>
  <si>
    <t>US Bank MO - Customer Lockbox</t>
  </si>
  <si>
    <t>13161708</t>
  </si>
  <si>
    <t>US Bank MO - Customer ACH</t>
  </si>
  <si>
    <t>13161707</t>
  </si>
  <si>
    <t>US Bank MO - Customer Direct Debit</t>
  </si>
  <si>
    <t>13161706</t>
  </si>
  <si>
    <t>US Bank MO - Main</t>
  </si>
  <si>
    <t>13161700</t>
  </si>
  <si>
    <t>US Bank MD - Client Services-3rd Party Collections</t>
  </si>
  <si>
    <t>13161318</t>
  </si>
  <si>
    <t>US Bank MD - Misc Debits/Credits</t>
  </si>
  <si>
    <t>13161317</t>
  </si>
  <si>
    <t>US Bank MD - NSF Return Payments</t>
  </si>
  <si>
    <t>13161316</t>
  </si>
  <si>
    <t>US Bank MD - Customer A/R Ck Conversion</t>
  </si>
  <si>
    <t>13161315</t>
  </si>
  <si>
    <t>US Bank MD -Credit Card &amp; Echeck E-Returns</t>
  </si>
  <si>
    <t>13161314</t>
  </si>
  <si>
    <t>US Bank MD - E-Return - US Bank</t>
  </si>
  <si>
    <t>13161313</t>
  </si>
  <si>
    <t>US Bank MD - Penn Credit</t>
  </si>
  <si>
    <t>13161312</t>
  </si>
  <si>
    <t>US Bank MD - FiServ (aka CheckFree)</t>
  </si>
  <si>
    <t>13161311</t>
  </si>
  <si>
    <t>US Bank MD - Firstech Collections</t>
  </si>
  <si>
    <t>13161310</t>
  </si>
  <si>
    <t>US Bank MD - Credit Card and E-Checks</t>
  </si>
  <si>
    <t>13161309</t>
  </si>
  <si>
    <t>US Bank MD - Customer Lockbox</t>
  </si>
  <si>
    <t>13161308</t>
  </si>
  <si>
    <t>US Bank MD - Customer ACH</t>
  </si>
  <si>
    <t>13161307</t>
  </si>
  <si>
    <t>US Bank MD - Customer Direct Debit</t>
  </si>
  <si>
    <t>13161306</t>
  </si>
  <si>
    <t>US Bank MD - Main</t>
  </si>
  <si>
    <t>13161300</t>
  </si>
  <si>
    <t>US Bank KY - Client Services-3rd Party Collections</t>
  </si>
  <si>
    <t>13161218</t>
  </si>
  <si>
    <t>US Bank KY - Misc Debits/Credits</t>
  </si>
  <si>
    <t>13161217</t>
  </si>
  <si>
    <t>US Bank KY - NSF Return Payments</t>
  </si>
  <si>
    <t>13161216</t>
  </si>
  <si>
    <t>US Bank KY - Customer A/R Ck Conversion</t>
  </si>
  <si>
    <t>13161215</t>
  </si>
  <si>
    <t>US Bank KY -Credit Card &amp; Echeck E-Returns</t>
  </si>
  <si>
    <t>13161214</t>
  </si>
  <si>
    <t>US Bank KY - E-Return - US Bank</t>
  </si>
  <si>
    <t>13161213</t>
  </si>
  <si>
    <t>US Bank KY - Penn Credit</t>
  </si>
  <si>
    <t>13161212</t>
  </si>
  <si>
    <t>US Bank KY - FiServ (aka CheckFree)</t>
  </si>
  <si>
    <t>13161211</t>
  </si>
  <si>
    <t>US Bank KY - Firstech Collections</t>
  </si>
  <si>
    <t>13161210</t>
  </si>
  <si>
    <t>US Bank KY - Credit Card and E-Checks</t>
  </si>
  <si>
    <t>13161209</t>
  </si>
  <si>
    <t>US Bank KY - Customer Lockbox</t>
  </si>
  <si>
    <t>13161208</t>
  </si>
  <si>
    <t>US Bank KY - Customer ACH</t>
  </si>
  <si>
    <t>13161207</t>
  </si>
  <si>
    <t>US Bank KY - Customer Direct Debit</t>
  </si>
  <si>
    <t>13161206</t>
  </si>
  <si>
    <t>US Bank KY - Main</t>
  </si>
  <si>
    <t>13161200</t>
  </si>
  <si>
    <t>US Bank IA - Client Services-3rd Party Collections</t>
  </si>
  <si>
    <t>13161118</t>
  </si>
  <si>
    <t>US Bank IA - Misc Debits/Credits</t>
  </si>
  <si>
    <t>13161117</t>
  </si>
  <si>
    <t>US Bank IA - NSF Return Payments</t>
  </si>
  <si>
    <t>13161116</t>
  </si>
  <si>
    <t>US Bank IA - Customer A/R Ck Conversion</t>
  </si>
  <si>
    <t>13161115</t>
  </si>
  <si>
    <t>US Bank IA -Credit Card &amp; Echeck E-Returns</t>
  </si>
  <si>
    <t>13161114</t>
  </si>
  <si>
    <t>US Bank IA - E-Return - US Bank</t>
  </si>
  <si>
    <t>13161113</t>
  </si>
  <si>
    <t>US Bank IA - Penn Credit</t>
  </si>
  <si>
    <t>13161112</t>
  </si>
  <si>
    <t>US Bank IA - FiServ (aka CheckFree)</t>
  </si>
  <si>
    <t>13161111</t>
  </si>
  <si>
    <t>US Bank IA - Firstech Collections</t>
  </si>
  <si>
    <t>13161110</t>
  </si>
  <si>
    <t>US Bank IA - Credit Card and E-Checks</t>
  </si>
  <si>
    <t>13161109</t>
  </si>
  <si>
    <t>US Bank IA - Customer Lockbox</t>
  </si>
  <si>
    <t>13161108</t>
  </si>
  <si>
    <t>US Bank IA - Customer ACH</t>
  </si>
  <si>
    <t>13161107</t>
  </si>
  <si>
    <t>US Bank IA - Customer Direct Debit</t>
  </si>
  <si>
    <t>13161106</t>
  </si>
  <si>
    <t>US Bank IA - Main</t>
  </si>
  <si>
    <t>13161100</t>
  </si>
  <si>
    <t>US Bank IN - Client Services-3rd Party Collections</t>
  </si>
  <si>
    <t>13161018</t>
  </si>
  <si>
    <t>US Bank IN - Misc Debits/Credits</t>
  </si>
  <si>
    <t>13161017</t>
  </si>
  <si>
    <t>US Bank IN - NSF Return Payments</t>
  </si>
  <si>
    <t>13161016</t>
  </si>
  <si>
    <t>US Bank IN - Customer A/R Ck Conversion</t>
  </si>
  <si>
    <t>13161015</t>
  </si>
  <si>
    <t>USBK  IN - Credit Card &amp; Echeck E-Returns</t>
  </si>
  <si>
    <t>13161014</t>
  </si>
  <si>
    <t>USBK  IN - E-Return</t>
  </si>
  <si>
    <t>13161013</t>
  </si>
  <si>
    <t>US Bank IN - Penn Credit</t>
  </si>
  <si>
    <t>13161012</t>
  </si>
  <si>
    <t>US Bank IN - FiServ (aka CheckFree)</t>
  </si>
  <si>
    <t>13161011</t>
  </si>
  <si>
    <t>USBK IN - First Tech</t>
  </si>
  <si>
    <t>13161010</t>
  </si>
  <si>
    <t>US Bank IN - Credit Card and E-Checks</t>
  </si>
  <si>
    <t>13161009</t>
  </si>
  <si>
    <t>US Bank IN - Customer Lockbox</t>
  </si>
  <si>
    <t>13161008</t>
  </si>
  <si>
    <t>US Bank IN - Customer ACH</t>
  </si>
  <si>
    <t>13161007</t>
  </si>
  <si>
    <t>US Bank IN - Customer Direct Debit</t>
  </si>
  <si>
    <t>13161006</t>
  </si>
  <si>
    <t>US Bank IN - Main</t>
  </si>
  <si>
    <t>13161000</t>
  </si>
  <si>
    <t>WellsF VA - Investment</t>
  </si>
  <si>
    <t>13152727</t>
  </si>
  <si>
    <t>WellsF VA - Sinking Fund</t>
  </si>
  <si>
    <t>13152726</t>
  </si>
  <si>
    <t>WellsF VA - Refund</t>
  </si>
  <si>
    <t>13152725</t>
  </si>
  <si>
    <t>WellsF VA-Main</t>
  </si>
  <si>
    <t>13152700</t>
  </si>
  <si>
    <t>13140705</t>
  </si>
  <si>
    <t>13140704</t>
  </si>
  <si>
    <t>13140702</t>
  </si>
  <si>
    <t>13140701</t>
  </si>
  <si>
    <t>13140700</t>
  </si>
  <si>
    <t>13140617</t>
  </si>
  <si>
    <t>13140604</t>
  </si>
  <si>
    <t>13140602</t>
  </si>
  <si>
    <t>13140601</t>
  </si>
  <si>
    <t>13140600</t>
  </si>
  <si>
    <t>13140517</t>
  </si>
  <si>
    <t>13140504</t>
  </si>
  <si>
    <t>13140502</t>
  </si>
  <si>
    <t>13140501</t>
  </si>
  <si>
    <t>13140500</t>
  </si>
  <si>
    <t>13140417</t>
  </si>
  <si>
    <t>13140404</t>
  </si>
  <si>
    <t>13140402</t>
  </si>
  <si>
    <t>13140401</t>
  </si>
  <si>
    <t>13140400</t>
  </si>
  <si>
    <t>13140317</t>
  </si>
  <si>
    <t>13140305</t>
  </si>
  <si>
    <t>13140304</t>
  </si>
  <si>
    <t>13140303</t>
  </si>
  <si>
    <t>13140300</t>
  </si>
  <si>
    <t>13140217</t>
  </si>
  <si>
    <t>13140205</t>
  </si>
  <si>
    <t>13140204</t>
  </si>
  <si>
    <t>13140203</t>
  </si>
  <si>
    <t>13140202</t>
  </si>
  <si>
    <t>13140200</t>
  </si>
  <si>
    <t>13140117</t>
  </si>
  <si>
    <t>13140105</t>
  </si>
  <si>
    <t>13140104</t>
  </si>
  <si>
    <t>13140103</t>
  </si>
  <si>
    <t>13140102</t>
  </si>
  <si>
    <t>13140100</t>
  </si>
  <si>
    <t>13140017</t>
  </si>
  <si>
    <t>13140012</t>
  </si>
  <si>
    <t>13140005</t>
  </si>
  <si>
    <t>13140004</t>
  </si>
  <si>
    <t>13140002</t>
  </si>
  <si>
    <t>13140001</t>
  </si>
  <si>
    <t>13140000</t>
  </si>
  <si>
    <t>BNYM NY #2 - Client Services - 3rd Party Collction</t>
  </si>
  <si>
    <t>13133818</t>
  </si>
  <si>
    <t>BNYM NY #2 - Misc Debits/Credits</t>
  </si>
  <si>
    <t>13133817</t>
  </si>
  <si>
    <t>BNYM NY #2 - NSF Return Payments</t>
  </si>
  <si>
    <t>13133816</t>
  </si>
  <si>
    <t>BNYM NY #2 - Customer A/R Ck Conversion</t>
  </si>
  <si>
    <t>13133815</t>
  </si>
  <si>
    <t>BNYM NY #2 - E-Return - Online Resource Ck Conv</t>
  </si>
  <si>
    <t>13133814</t>
  </si>
  <si>
    <t>BNYM NY #2 - E-Return - Mellon</t>
  </si>
  <si>
    <t>13133813</t>
  </si>
  <si>
    <t>BNYM NY #2 - Penn Credit</t>
  </si>
  <si>
    <t>13133812</t>
  </si>
  <si>
    <t>BNYM NY #2 - FiServ (fka CheckFree)</t>
  </si>
  <si>
    <t>13133811</t>
  </si>
  <si>
    <t>BNYM NY #2 - First Tech</t>
  </si>
  <si>
    <t>13133810</t>
  </si>
  <si>
    <t>BNYM NY #2 - Online Resources Credit Corp</t>
  </si>
  <si>
    <t>13133809</t>
  </si>
  <si>
    <t>BNYM NY #2 - Customer Lockbox</t>
  </si>
  <si>
    <t>13133808</t>
  </si>
  <si>
    <t>BNYM NY #2 - Customer Direct Debit</t>
  </si>
  <si>
    <t>13133806</t>
  </si>
  <si>
    <t>BNYM NY #2 - ZBA Activity</t>
  </si>
  <si>
    <t>13133805</t>
  </si>
  <si>
    <t>BNYM NY #2 - Inbound Wires &amp; ACH</t>
  </si>
  <si>
    <t>13133804</t>
  </si>
  <si>
    <t>BNYM NY #2 - Outbound Check</t>
  </si>
  <si>
    <t>13133803</t>
  </si>
  <si>
    <t>BNYM NY #2 - Outbound ACH</t>
  </si>
  <si>
    <t>13133802</t>
  </si>
  <si>
    <t>BNYM NY #2 - Outbound Wire</t>
  </si>
  <si>
    <t>13133801</t>
  </si>
  <si>
    <t>BNYM NY #2</t>
  </si>
  <si>
    <t>13133800</t>
  </si>
  <si>
    <t>13125317</t>
  </si>
  <si>
    <t>13125316</t>
  </si>
  <si>
    <t>13125315</t>
  </si>
  <si>
    <t>13125314</t>
  </si>
  <si>
    <t>13125313</t>
  </si>
  <si>
    <t>13125312</t>
  </si>
  <si>
    <t>13125311</t>
  </si>
  <si>
    <t>13125310</t>
  </si>
  <si>
    <t>13125309</t>
  </si>
  <si>
    <t>13125308</t>
  </si>
  <si>
    <t>13125306</t>
  </si>
  <si>
    <t>13125301</t>
  </si>
  <si>
    <t>13125300</t>
  </si>
  <si>
    <t>13125217</t>
  </si>
  <si>
    <t>13125216</t>
  </si>
  <si>
    <t>13125215</t>
  </si>
  <si>
    <t>13125214</t>
  </si>
  <si>
    <t>13125213</t>
  </si>
  <si>
    <t>13125212</t>
  </si>
  <si>
    <t>13125211</t>
  </si>
  <si>
    <t>13125210</t>
  </si>
  <si>
    <t>13125209</t>
  </si>
  <si>
    <t>13125208</t>
  </si>
  <si>
    <t>13125206</t>
  </si>
  <si>
    <t>13125204</t>
  </si>
  <si>
    <t>13125201</t>
  </si>
  <si>
    <t>13125200</t>
  </si>
  <si>
    <t>13123818</t>
  </si>
  <si>
    <t>13123817</t>
  </si>
  <si>
    <t>13123816</t>
  </si>
  <si>
    <t>13123815</t>
  </si>
  <si>
    <t>BNYM NY -Credit Card &amp; Echeck E-Returns</t>
  </si>
  <si>
    <t>13123814</t>
  </si>
  <si>
    <t>13123813</t>
  </si>
  <si>
    <t>13123812</t>
  </si>
  <si>
    <t>13123811</t>
  </si>
  <si>
    <t>13123810</t>
  </si>
  <si>
    <t>BNYM NY - Credit Card and E-Checks</t>
  </si>
  <si>
    <t>13123809</t>
  </si>
  <si>
    <t>13123808</t>
  </si>
  <si>
    <t>13123807</t>
  </si>
  <si>
    <t>13123806</t>
  </si>
  <si>
    <t>13123804</t>
  </si>
  <si>
    <t>13123801</t>
  </si>
  <si>
    <t>13123800</t>
  </si>
  <si>
    <t>13123018</t>
  </si>
  <si>
    <t>13123017</t>
  </si>
  <si>
    <t>13123016</t>
  </si>
  <si>
    <t>13123015</t>
  </si>
  <si>
    <t>BNYM HI -Credit Card &amp; Echeck E-Returns</t>
  </si>
  <si>
    <t>13123014</t>
  </si>
  <si>
    <t>13123013</t>
  </si>
  <si>
    <t>13123012</t>
  </si>
  <si>
    <t>13123011</t>
  </si>
  <si>
    <t>13123010</t>
  </si>
  <si>
    <t>BNYM HI - Credit Card and E-Checks</t>
  </si>
  <si>
    <t>13123009</t>
  </si>
  <si>
    <t>13123008</t>
  </si>
  <si>
    <t>13123007</t>
  </si>
  <si>
    <t>13123006</t>
  </si>
  <si>
    <t>13123004</t>
  </si>
  <si>
    <t>13123001</t>
  </si>
  <si>
    <t>13123000</t>
  </si>
  <si>
    <t>13122818</t>
  </si>
  <si>
    <t>13122817</t>
  </si>
  <si>
    <t>13122816</t>
  </si>
  <si>
    <t>13122815</t>
  </si>
  <si>
    <t>BNYM WV -Credit Card &amp; Echeck E-Returns</t>
  </si>
  <si>
    <t>13122814</t>
  </si>
  <si>
    <t>13122813</t>
  </si>
  <si>
    <t>13122812</t>
  </si>
  <si>
    <t>13122811</t>
  </si>
  <si>
    <t>BNYM WV - Credit Card and E-Checks</t>
  </si>
  <si>
    <t>13122809</t>
  </si>
  <si>
    <t>13122808</t>
  </si>
  <si>
    <t>13122807</t>
  </si>
  <si>
    <t>13122806</t>
  </si>
  <si>
    <t>13122804</t>
  </si>
  <si>
    <t>13122801</t>
  </si>
  <si>
    <t>13122800</t>
  </si>
  <si>
    <t>13122718</t>
  </si>
  <si>
    <t>13122717</t>
  </si>
  <si>
    <t>13122716</t>
  </si>
  <si>
    <t>13122715</t>
  </si>
  <si>
    <t>BNYM VA -Credit Card &amp; Echeck E-Returns</t>
  </si>
  <si>
    <t>13122714</t>
  </si>
  <si>
    <t>13122713</t>
  </si>
  <si>
    <t>13122712</t>
  </si>
  <si>
    <t>13122711</t>
  </si>
  <si>
    <t>BNYM VA - Credit Card and E-Checks</t>
  </si>
  <si>
    <t>13122709</t>
  </si>
  <si>
    <t>13122708</t>
  </si>
  <si>
    <t>13122707</t>
  </si>
  <si>
    <t>13122706</t>
  </si>
  <si>
    <t>13122704</t>
  </si>
  <si>
    <t>13122701</t>
  </si>
  <si>
    <t>13122700</t>
  </si>
  <si>
    <t>13122618</t>
  </si>
  <si>
    <t>13122617</t>
  </si>
  <si>
    <t>13122616</t>
  </si>
  <si>
    <t>13122615</t>
  </si>
  <si>
    <t>BNYM TN - Credit Card &amp; Echeck E-Returns</t>
  </si>
  <si>
    <t>13122614</t>
  </si>
  <si>
    <t>13122613</t>
  </si>
  <si>
    <t>13122612</t>
  </si>
  <si>
    <t>13122611</t>
  </si>
  <si>
    <t>13122610</t>
  </si>
  <si>
    <t>BNYM TN - Credit Card and E-Checks</t>
  </si>
  <si>
    <t>13122609</t>
  </si>
  <si>
    <t>13122608</t>
  </si>
  <si>
    <t>13122607</t>
  </si>
  <si>
    <t>13122606</t>
  </si>
  <si>
    <t>13122604</t>
  </si>
  <si>
    <t>13122601</t>
  </si>
  <si>
    <t>13122600</t>
  </si>
  <si>
    <t>13122518</t>
  </si>
  <si>
    <t>13122517</t>
  </si>
  <si>
    <t>13122516</t>
  </si>
  <si>
    <t>13122515</t>
  </si>
  <si>
    <t>BNYM IL -Credit Card &amp; Echeck E-Returns</t>
  </si>
  <si>
    <t>13122514</t>
  </si>
  <si>
    <t>13122513</t>
  </si>
  <si>
    <t>13122512</t>
  </si>
  <si>
    <t>13122511</t>
  </si>
  <si>
    <t>13122510</t>
  </si>
  <si>
    <t>BNYM IL - Credit Card and E-Checks</t>
  </si>
  <si>
    <t>13122509</t>
  </si>
  <si>
    <t>13122508</t>
  </si>
  <si>
    <t>13122507</t>
  </si>
  <si>
    <t>13122506</t>
  </si>
  <si>
    <t>13122504</t>
  </si>
  <si>
    <t>13122501</t>
  </si>
  <si>
    <t>13122500</t>
  </si>
  <si>
    <t>13122418</t>
  </si>
  <si>
    <t>13122417</t>
  </si>
  <si>
    <t>13122416</t>
  </si>
  <si>
    <t>13122415</t>
  </si>
  <si>
    <t>BNYM PA -Credit Card &amp; Echeck E-Returns</t>
  </si>
  <si>
    <t>13122414</t>
  </si>
  <si>
    <t>13122413</t>
  </si>
  <si>
    <t>13122412</t>
  </si>
  <si>
    <t>13122411</t>
  </si>
  <si>
    <t>BNYM PA - Credit Card and E-Checks</t>
  </si>
  <si>
    <t>13122409</t>
  </si>
  <si>
    <t>13122408</t>
  </si>
  <si>
    <t>13122407</t>
  </si>
  <si>
    <t>13122406</t>
  </si>
  <si>
    <t>13122404</t>
  </si>
  <si>
    <t>13122401</t>
  </si>
  <si>
    <t>13122400</t>
  </si>
  <si>
    <t>13122317</t>
  </si>
  <si>
    <t>13122316</t>
  </si>
  <si>
    <t>13122308</t>
  </si>
  <si>
    <t>13122307</t>
  </si>
  <si>
    <t>13122300</t>
  </si>
  <si>
    <t>13122217</t>
  </si>
  <si>
    <t>13122216</t>
  </si>
  <si>
    <t>13122208</t>
  </si>
  <si>
    <t>13122207</t>
  </si>
  <si>
    <t>13122200</t>
  </si>
  <si>
    <t>13121917</t>
  </si>
  <si>
    <t>13121916</t>
  </si>
  <si>
    <t>13121908</t>
  </si>
  <si>
    <t>13121907</t>
  </si>
  <si>
    <t>13121900</t>
  </si>
  <si>
    <t>Mutual of Omaha NJ - Customer Lockbox EDC</t>
  </si>
  <si>
    <t>13121819</t>
  </si>
  <si>
    <t>13121818</t>
  </si>
  <si>
    <t>13121817</t>
  </si>
  <si>
    <t>13121816</t>
  </si>
  <si>
    <t>13121815</t>
  </si>
  <si>
    <t>BNYM NJ - Credit Card &amp; Echeck E-Returns</t>
  </si>
  <si>
    <t>13121814</t>
  </si>
  <si>
    <t>13121813</t>
  </si>
  <si>
    <t>13121812</t>
  </si>
  <si>
    <t>13121811</t>
  </si>
  <si>
    <t>BNYM NJ - Credit Card and E-Checks</t>
  </si>
  <si>
    <t>13121809</t>
  </si>
  <si>
    <t>13121808</t>
  </si>
  <si>
    <t>13121807</t>
  </si>
  <si>
    <t>13121806</t>
  </si>
  <si>
    <t>13121804</t>
  </si>
  <si>
    <t>13121801</t>
  </si>
  <si>
    <t>13121800</t>
  </si>
  <si>
    <t>13121718</t>
  </si>
  <si>
    <t>13121717</t>
  </si>
  <si>
    <t>13121716</t>
  </si>
  <si>
    <t>13121715</t>
  </si>
  <si>
    <t>BNYM MO -Credit Card &amp; Echeck E-Returns</t>
  </si>
  <si>
    <t>13121714</t>
  </si>
  <si>
    <t>13121713</t>
  </si>
  <si>
    <t>13121712</t>
  </si>
  <si>
    <t>13121710</t>
  </si>
  <si>
    <t>BNYM MO - Credit Card and E-Checks</t>
  </si>
  <si>
    <t>13121709</t>
  </si>
  <si>
    <t>13121708</t>
  </si>
  <si>
    <t>13121707</t>
  </si>
  <si>
    <t>13121706</t>
  </si>
  <si>
    <t>13121704</t>
  </si>
  <si>
    <t>13121701</t>
  </si>
  <si>
    <t>13121700</t>
  </si>
  <si>
    <t>13121518</t>
  </si>
  <si>
    <t>13121517</t>
  </si>
  <si>
    <t>13121516</t>
  </si>
  <si>
    <t>13121515</t>
  </si>
  <si>
    <t>BNYM CA - Credit Card &amp; Echeck E-Returns</t>
  </si>
  <si>
    <t>13121514</t>
  </si>
  <si>
    <t>13121513</t>
  </si>
  <si>
    <t>13121512</t>
  </si>
  <si>
    <t>13121511</t>
  </si>
  <si>
    <t>BNYM CA - Credit Card and E-Checks</t>
  </si>
  <si>
    <t>13121509</t>
  </si>
  <si>
    <t>13121508</t>
  </si>
  <si>
    <t>13121507</t>
  </si>
  <si>
    <t>13121506</t>
  </si>
  <si>
    <t>13121504</t>
  </si>
  <si>
    <t>13121501</t>
  </si>
  <si>
    <t>13121500</t>
  </si>
  <si>
    <t>13121318</t>
  </si>
  <si>
    <t>13121317</t>
  </si>
  <si>
    <t>13121316</t>
  </si>
  <si>
    <t>13121315</t>
  </si>
  <si>
    <t>BNYM MD -Credit Card &amp; Echeck E-Returns</t>
  </si>
  <si>
    <t>13121314</t>
  </si>
  <si>
    <t>13121313</t>
  </si>
  <si>
    <t>13121312</t>
  </si>
  <si>
    <t>13121311</t>
  </si>
  <si>
    <t>BNYM MD - Credit Card and E-Checks</t>
  </si>
  <si>
    <t>13121309</t>
  </si>
  <si>
    <t>13121308</t>
  </si>
  <si>
    <t>13121307</t>
  </si>
  <si>
    <t>13121306</t>
  </si>
  <si>
    <t>13121304</t>
  </si>
  <si>
    <t>13121301</t>
  </si>
  <si>
    <t>13121300</t>
  </si>
  <si>
    <t>13121218</t>
  </si>
  <si>
    <t>13121217</t>
  </si>
  <si>
    <t>13121216</t>
  </si>
  <si>
    <t>13121215</t>
  </si>
  <si>
    <t>BNYM KY -Credit Card &amp; Echeck E-Returns</t>
  </si>
  <si>
    <t>13121214</t>
  </si>
  <si>
    <t>13121213</t>
  </si>
  <si>
    <t>13121212</t>
  </si>
  <si>
    <t>13121211</t>
  </si>
  <si>
    <t>BNYM KY - Credit Card and E-Checks</t>
  </si>
  <si>
    <t>13121209</t>
  </si>
  <si>
    <t>13121208</t>
  </si>
  <si>
    <t>13121207</t>
  </si>
  <si>
    <t>13121206</t>
  </si>
  <si>
    <t>13121204</t>
  </si>
  <si>
    <t>13121201</t>
  </si>
  <si>
    <t>13121200</t>
  </si>
  <si>
    <t>13121118</t>
  </si>
  <si>
    <t>13121117</t>
  </si>
  <si>
    <t>13121116</t>
  </si>
  <si>
    <t>13121115</t>
  </si>
  <si>
    <t>BNYM IA -Credit Card &amp; Echeck E-Returns</t>
  </si>
  <si>
    <t>13121114</t>
  </si>
  <si>
    <t>13121113</t>
  </si>
  <si>
    <t>13121112</t>
  </si>
  <si>
    <t>13121111</t>
  </si>
  <si>
    <t>13121110</t>
  </si>
  <si>
    <t>BNYM IA - Credit Card and E-Checks</t>
  </si>
  <si>
    <t>13121109</t>
  </si>
  <si>
    <t>13121108</t>
  </si>
  <si>
    <t>13121107</t>
  </si>
  <si>
    <t>13121106</t>
  </si>
  <si>
    <t>13121104</t>
  </si>
  <si>
    <t>13121101</t>
  </si>
  <si>
    <t>13121100</t>
  </si>
  <si>
    <t>13121018</t>
  </si>
  <si>
    <t>13121017</t>
  </si>
  <si>
    <t>13121016</t>
  </si>
  <si>
    <t>13121015</t>
  </si>
  <si>
    <t>BNYM IN -Credit Card &amp; Echeck E-Returns</t>
  </si>
  <si>
    <t>13121014</t>
  </si>
  <si>
    <t>13121013</t>
  </si>
  <si>
    <t>13121012</t>
  </si>
  <si>
    <t>13121010</t>
  </si>
  <si>
    <t>BNYM IN - Credit Card and E-Checks</t>
  </si>
  <si>
    <t>13121009</t>
  </si>
  <si>
    <t>13121008</t>
  </si>
  <si>
    <t>13121007</t>
  </si>
  <si>
    <t>13121006</t>
  </si>
  <si>
    <t>13121004</t>
  </si>
  <si>
    <t>13121001</t>
  </si>
  <si>
    <t>13121000</t>
  </si>
  <si>
    <t>13120417</t>
  </si>
  <si>
    <t>13120416</t>
  </si>
  <si>
    <t>13120415</t>
  </si>
  <si>
    <t>13120414</t>
  </si>
  <si>
    <t>13120413</t>
  </si>
  <si>
    <t>13120412</t>
  </si>
  <si>
    <t>13120411</t>
  </si>
  <si>
    <t>13120409</t>
  </si>
  <si>
    <t>13120408</t>
  </si>
  <si>
    <t>13120407</t>
  </si>
  <si>
    <t>13120406</t>
  </si>
  <si>
    <t>13120404</t>
  </si>
  <si>
    <t>13120401</t>
  </si>
  <si>
    <t>13120400</t>
  </si>
  <si>
    <t>13120317</t>
  </si>
  <si>
    <t>13120316</t>
  </si>
  <si>
    <t>13120315</t>
  </si>
  <si>
    <t>13120314</t>
  </si>
  <si>
    <t>13120313</t>
  </si>
  <si>
    <t>13120312</t>
  </si>
  <si>
    <t>13120311</t>
  </si>
  <si>
    <t>13120310</t>
  </si>
  <si>
    <t>13120309</t>
  </si>
  <si>
    <t>13120308</t>
  </si>
  <si>
    <t>13120307</t>
  </si>
  <si>
    <t>13120306</t>
  </si>
  <si>
    <t>13120304</t>
  </si>
  <si>
    <t>13120301</t>
  </si>
  <si>
    <t>13120300</t>
  </si>
  <si>
    <t>13120217</t>
  </si>
  <si>
    <t>13120216</t>
  </si>
  <si>
    <t>13120215</t>
  </si>
  <si>
    <t>13120214</t>
  </si>
  <si>
    <t>13120213</t>
  </si>
  <si>
    <t>13120212</t>
  </si>
  <si>
    <t>13120211</t>
  </si>
  <si>
    <t>13120209</t>
  </si>
  <si>
    <t>13120208</t>
  </si>
  <si>
    <t>13120207</t>
  </si>
  <si>
    <t>13120206</t>
  </si>
  <si>
    <t>13120204</t>
  </si>
  <si>
    <t>13120201</t>
  </si>
  <si>
    <t>13120200</t>
  </si>
  <si>
    <t>13120117</t>
  </si>
  <si>
    <t>13120116</t>
  </si>
  <si>
    <t>13120115</t>
  </si>
  <si>
    <t>13120114</t>
  </si>
  <si>
    <t>13120113</t>
  </si>
  <si>
    <t>13120112</t>
  </si>
  <si>
    <t>13120111</t>
  </si>
  <si>
    <t>13120110</t>
  </si>
  <si>
    <t>13120109</t>
  </si>
  <si>
    <t>13120108</t>
  </si>
  <si>
    <t>13120107</t>
  </si>
  <si>
    <t>13120106</t>
  </si>
  <si>
    <t>13120104</t>
  </si>
  <si>
    <t>13120101</t>
  </si>
  <si>
    <t>13120100</t>
  </si>
  <si>
    <t>13120017</t>
  </si>
  <si>
    <t>13120016</t>
  </si>
  <si>
    <t>13120015</t>
  </si>
  <si>
    <t>13120014</t>
  </si>
  <si>
    <t>13120013</t>
  </si>
  <si>
    <t>13120012</t>
  </si>
  <si>
    <t>13120011</t>
  </si>
  <si>
    <t>13120010</t>
  </si>
  <si>
    <t>13120009</t>
  </si>
  <si>
    <t>13120008</t>
  </si>
  <si>
    <t>13120007</t>
  </si>
  <si>
    <t>13120006</t>
  </si>
  <si>
    <t>13120005</t>
  </si>
  <si>
    <t>13120004</t>
  </si>
  <si>
    <t>13120001</t>
  </si>
  <si>
    <t>13120000</t>
  </si>
  <si>
    <t>13119117</t>
  </si>
  <si>
    <t>13119116</t>
  </si>
  <si>
    <t>13119104</t>
  </si>
  <si>
    <t>13119103</t>
  </si>
  <si>
    <t>13119102</t>
  </si>
  <si>
    <t>13119101</t>
  </si>
  <si>
    <t>13119100</t>
  </si>
  <si>
    <t>13119017</t>
  </si>
  <si>
    <t>13119016</t>
  </si>
  <si>
    <t>13119004</t>
  </si>
  <si>
    <t>13119003</t>
  </si>
  <si>
    <t>13119002</t>
  </si>
  <si>
    <t>13119001</t>
  </si>
  <si>
    <t>13119000</t>
  </si>
  <si>
    <t>13118500</t>
  </si>
  <si>
    <t>13118017</t>
  </si>
  <si>
    <t>13118016</t>
  </si>
  <si>
    <t>13118004</t>
  </si>
  <si>
    <t>13118003</t>
  </si>
  <si>
    <t>13118002</t>
  </si>
  <si>
    <t>13118001</t>
  </si>
  <si>
    <t>13118000</t>
  </si>
  <si>
    <t>13115717</t>
  </si>
  <si>
    <t>13115716</t>
  </si>
  <si>
    <t>13115704</t>
  </si>
  <si>
    <t>13115703</t>
  </si>
  <si>
    <t>13115702</t>
  </si>
  <si>
    <t>13115701</t>
  </si>
  <si>
    <t>13115700</t>
  </si>
  <si>
    <t>13115117</t>
  </si>
  <si>
    <t>13115116</t>
  </si>
  <si>
    <t>13115104</t>
  </si>
  <si>
    <t>13115103</t>
  </si>
  <si>
    <t>13115102</t>
  </si>
  <si>
    <t>13115101</t>
  </si>
  <si>
    <t>13115100</t>
  </si>
  <si>
    <t>PNC - AWI, Inc</t>
  </si>
  <si>
    <t>13114000</t>
  </si>
  <si>
    <t>13112817</t>
  </si>
  <si>
    <t>13112804</t>
  </si>
  <si>
    <t>13112802</t>
  </si>
  <si>
    <t>13112801</t>
  </si>
  <si>
    <t>13112800</t>
  </si>
  <si>
    <t>13112717</t>
  </si>
  <si>
    <t>13112702</t>
  </si>
  <si>
    <t>13112701</t>
  </si>
  <si>
    <t>13112700</t>
  </si>
  <si>
    <t>13112517</t>
  </si>
  <si>
    <t>13112504</t>
  </si>
  <si>
    <t>13112502</t>
  </si>
  <si>
    <t>13112501</t>
  </si>
  <si>
    <t>13112500</t>
  </si>
  <si>
    <t>PNC Bank - McKeesport Checkfree</t>
  </si>
  <si>
    <t>13112471</t>
  </si>
  <si>
    <t>13112417</t>
  </si>
  <si>
    <t>13112404</t>
  </si>
  <si>
    <t>13112402</t>
  </si>
  <si>
    <t>13112401</t>
  </si>
  <si>
    <t>13112400</t>
  </si>
  <si>
    <t>13112117</t>
  </si>
  <si>
    <t>13112116</t>
  </si>
  <si>
    <t>13112104</t>
  </si>
  <si>
    <t>13112103</t>
  </si>
  <si>
    <t>13112102</t>
  </si>
  <si>
    <t>13112101</t>
  </si>
  <si>
    <t>13112100</t>
  </si>
  <si>
    <t>PNC AWK - Camden Headquarter Facility</t>
  </si>
  <si>
    <t>13112070</t>
  </si>
  <si>
    <t>13112017</t>
  </si>
  <si>
    <t>13112004</t>
  </si>
  <si>
    <t>13112003</t>
  </si>
  <si>
    <t>13112002</t>
  </si>
  <si>
    <t>13112001</t>
  </si>
  <si>
    <t>13112000</t>
  </si>
  <si>
    <t>PNC Bank - Shorelands Checkfree</t>
  </si>
  <si>
    <t>13111833</t>
  </si>
  <si>
    <t>12515000</t>
  </si>
  <si>
    <t>12510000</t>
  </si>
  <si>
    <t>12420000</t>
  </si>
  <si>
    <t>12410000</t>
  </si>
  <si>
    <t>12401100</t>
  </si>
  <si>
    <t>12401000</t>
  </si>
  <si>
    <t>12400000</t>
  </si>
  <si>
    <t>12320000</t>
  </si>
  <si>
    <t>12310000</t>
  </si>
  <si>
    <t>12210000</t>
  </si>
  <si>
    <t>12200000</t>
  </si>
  <si>
    <t>12180000</t>
  </si>
  <si>
    <t>12150080</t>
  </si>
  <si>
    <t>12150050</t>
  </si>
  <si>
    <t>12150040</t>
  </si>
  <si>
    <t>12150030</t>
  </si>
  <si>
    <t>12150020</t>
  </si>
  <si>
    <t>12150010</t>
  </si>
  <si>
    <t>12150000</t>
  </si>
  <si>
    <t>12140000</t>
  </si>
  <si>
    <t>12130015</t>
  </si>
  <si>
    <t>12130010</t>
  </si>
  <si>
    <t>12130007</t>
  </si>
  <si>
    <t>12130005</t>
  </si>
  <si>
    <t>12130004</t>
  </si>
  <si>
    <t>12130003</t>
  </si>
  <si>
    <t>12120000</t>
  </si>
  <si>
    <t>12110000</t>
  </si>
  <si>
    <t>11435000</t>
  </si>
  <si>
    <t>11430000</t>
  </si>
  <si>
    <t>11425000</t>
  </si>
  <si>
    <t>11420000</t>
  </si>
  <si>
    <t>11415000</t>
  </si>
  <si>
    <t>11410000</t>
  </si>
  <si>
    <t>10850000</t>
  </si>
  <si>
    <t>10840000</t>
  </si>
  <si>
    <t>10830000</t>
  </si>
  <si>
    <t>10820000</t>
  </si>
  <si>
    <t>10810000</t>
  </si>
  <si>
    <t>10804000</t>
  </si>
  <si>
    <t>10803000</t>
  </si>
  <si>
    <t>10802000</t>
  </si>
  <si>
    <t>10801000</t>
  </si>
  <si>
    <t>10790000</t>
  </si>
  <si>
    <t>10780150</t>
  </si>
  <si>
    <t>10780140</t>
  </si>
  <si>
    <t>10780130</t>
  </si>
  <si>
    <t>10780120</t>
  </si>
  <si>
    <t>10780110</t>
  </si>
  <si>
    <t>10780100</t>
  </si>
  <si>
    <t>CWIP - Workbasket Accrual</t>
  </si>
  <si>
    <t>10780000</t>
  </si>
  <si>
    <t>10700000</t>
  </si>
  <si>
    <t>10639800</t>
  </si>
  <si>
    <t>10639700</t>
  </si>
  <si>
    <t>10639600</t>
  </si>
  <si>
    <t>10639500</t>
  </si>
  <si>
    <t>10639400</t>
  </si>
  <si>
    <t>10639300</t>
  </si>
  <si>
    <t>10639200</t>
  </si>
  <si>
    <t>10639100</t>
  </si>
  <si>
    <t>10639000</t>
  </si>
  <si>
    <t>10638940</t>
  </si>
  <si>
    <t>10638930</t>
  </si>
  <si>
    <t>10638920</t>
  </si>
  <si>
    <t>10638910</t>
  </si>
  <si>
    <t>10638200</t>
  </si>
  <si>
    <t>10638100</t>
  </si>
  <si>
    <t>10638000</t>
  </si>
  <si>
    <t>10637120</t>
  </si>
  <si>
    <t>10637110</t>
  </si>
  <si>
    <t>10637000</t>
  </si>
  <si>
    <t>10636500</t>
  </si>
  <si>
    <t>10636400</t>
  </si>
  <si>
    <t>10636300</t>
  </si>
  <si>
    <t>10636200</t>
  </si>
  <si>
    <t>10636110</t>
  </si>
  <si>
    <t>10636000</t>
  </si>
  <si>
    <t>10635560</t>
  </si>
  <si>
    <t>10635550</t>
  </si>
  <si>
    <t>10635540</t>
  </si>
  <si>
    <t>10635530</t>
  </si>
  <si>
    <t>10635520</t>
  </si>
  <si>
    <t>10635450</t>
  </si>
  <si>
    <t>10635440</t>
  </si>
  <si>
    <t>10635430</t>
  </si>
  <si>
    <t>10635420</t>
  </si>
  <si>
    <t>10635350</t>
  </si>
  <si>
    <t>10635340</t>
  </si>
  <si>
    <t>10635330</t>
  </si>
  <si>
    <t>10635320</t>
  </si>
  <si>
    <t>10634800</t>
  </si>
  <si>
    <t>10634700</t>
  </si>
  <si>
    <t>10634600</t>
  </si>
  <si>
    <t>10634500</t>
  </si>
  <si>
    <t>10634400</t>
  </si>
  <si>
    <t>10634300</t>
  </si>
  <si>
    <t>10634200</t>
  </si>
  <si>
    <t>10634100</t>
  </si>
  <si>
    <t>10634010</t>
  </si>
  <si>
    <t>10633950</t>
  </si>
  <si>
    <t>10633930</t>
  </si>
  <si>
    <t>10633920</t>
  </si>
  <si>
    <t>10633910</t>
  </si>
  <si>
    <t>10633600</t>
  </si>
  <si>
    <t>10633500</t>
  </si>
  <si>
    <t>10633420</t>
  </si>
  <si>
    <t>10633410</t>
  </si>
  <si>
    <t>10633300</t>
  </si>
  <si>
    <t>10633200</t>
  </si>
  <si>
    <t>10633100</t>
  </si>
  <si>
    <t>10633000</t>
  </si>
  <si>
    <t>10632010</t>
  </si>
  <si>
    <t>10631154</t>
  </si>
  <si>
    <t>10631153</t>
  </si>
  <si>
    <t>10631152</t>
  </si>
  <si>
    <t>10631150</t>
  </si>
  <si>
    <t>10631140</t>
  </si>
  <si>
    <t>10631130</t>
  </si>
  <si>
    <t>10631120</t>
  </si>
  <si>
    <t>10631110</t>
  </si>
  <si>
    <t>10631020</t>
  </si>
  <si>
    <t>10631000</t>
  </si>
  <si>
    <t>10630900</t>
  </si>
  <si>
    <t>10630800</t>
  </si>
  <si>
    <t>10630700</t>
  </si>
  <si>
    <t>10630600</t>
  </si>
  <si>
    <t>10630500</t>
  </si>
  <si>
    <t>10630450</t>
  </si>
  <si>
    <t>10630440</t>
  </si>
  <si>
    <t>10630430</t>
  </si>
  <si>
    <t>10630420</t>
  </si>
  <si>
    <t>10630410</t>
  </si>
  <si>
    <t>10630360</t>
  </si>
  <si>
    <t>10630350</t>
  </si>
  <si>
    <t>10630340</t>
  </si>
  <si>
    <t>10630330</t>
  </si>
  <si>
    <t>10630320</t>
  </si>
  <si>
    <t>10630200</t>
  </si>
  <si>
    <t>10630100</t>
  </si>
  <si>
    <t>10400000</t>
  </si>
  <si>
    <t>10300000</t>
  </si>
  <si>
    <t>10234700</t>
  </si>
  <si>
    <t>10234600</t>
  </si>
  <si>
    <t>10234500</t>
  </si>
  <si>
    <t>10234400</t>
  </si>
  <si>
    <t>10234300</t>
  </si>
  <si>
    <t>10234200</t>
  </si>
  <si>
    <t>10234100</t>
  </si>
  <si>
    <t>10234010</t>
  </si>
  <si>
    <t>10233950</t>
  </si>
  <si>
    <t>10233500</t>
  </si>
  <si>
    <t>10233420</t>
  </si>
  <si>
    <t>10233410</t>
  </si>
  <si>
    <t>10233300</t>
  </si>
  <si>
    <t>10233100</t>
  </si>
  <si>
    <t>10233000</t>
  </si>
  <si>
    <t>10232010</t>
  </si>
  <si>
    <t>10231120</t>
  </si>
  <si>
    <t>10231000</t>
  </si>
  <si>
    <t>10230900</t>
  </si>
  <si>
    <t>10230600</t>
  </si>
  <si>
    <t>10230500</t>
  </si>
  <si>
    <t>10230450</t>
  </si>
  <si>
    <t>10230440</t>
  </si>
  <si>
    <t>10230430</t>
  </si>
  <si>
    <t>10230420</t>
  </si>
  <si>
    <t>10230410</t>
  </si>
  <si>
    <t>10230360</t>
  </si>
  <si>
    <t>10230350</t>
  </si>
  <si>
    <t>10230340</t>
  </si>
  <si>
    <t>10230330</t>
  </si>
  <si>
    <t>10230320</t>
  </si>
  <si>
    <t>10230100</t>
  </si>
  <si>
    <t>10190000</t>
  </si>
  <si>
    <t>10139800</t>
  </si>
  <si>
    <t>10139700</t>
  </si>
  <si>
    <t>10139600</t>
  </si>
  <si>
    <t>10139500</t>
  </si>
  <si>
    <t>10139400</t>
  </si>
  <si>
    <t>10139300</t>
  </si>
  <si>
    <t>10139200</t>
  </si>
  <si>
    <t>10139100</t>
  </si>
  <si>
    <t>10139000</t>
  </si>
  <si>
    <t>10138940</t>
  </si>
  <si>
    <t>10138930</t>
  </si>
  <si>
    <t>10138920</t>
  </si>
  <si>
    <t>10138910</t>
  </si>
  <si>
    <t>10138200</t>
  </si>
  <si>
    <t>10138100</t>
  </si>
  <si>
    <t>10138000</t>
  </si>
  <si>
    <t>10137120</t>
  </si>
  <si>
    <t>10137110</t>
  </si>
  <si>
    <t>10137000</t>
  </si>
  <si>
    <t>10136500</t>
  </si>
  <si>
    <t>10136400</t>
  </si>
  <si>
    <t>10136300</t>
  </si>
  <si>
    <t>10136200</t>
  </si>
  <si>
    <t>10136110</t>
  </si>
  <si>
    <t>10136000</t>
  </si>
  <si>
    <t>10135560</t>
  </si>
  <si>
    <t>10135550</t>
  </si>
  <si>
    <t>10135540</t>
  </si>
  <si>
    <t>10135530</t>
  </si>
  <si>
    <t>10135520</t>
  </si>
  <si>
    <t>10135450</t>
  </si>
  <si>
    <t>10135440</t>
  </si>
  <si>
    <t>10135430</t>
  </si>
  <si>
    <t>10135420</t>
  </si>
  <si>
    <t>10135350</t>
  </si>
  <si>
    <t>10135340</t>
  </si>
  <si>
    <t>10135330</t>
  </si>
  <si>
    <t>10135320</t>
  </si>
  <si>
    <t>10135220</t>
  </si>
  <si>
    <t>10135200</t>
  </si>
  <si>
    <t>10135100</t>
  </si>
  <si>
    <t>10134800</t>
  </si>
  <si>
    <t>10134700</t>
  </si>
  <si>
    <t>10134600</t>
  </si>
  <si>
    <t>10134500</t>
  </si>
  <si>
    <t>10134400</t>
  </si>
  <si>
    <t>10134300</t>
  </si>
  <si>
    <t>10134200</t>
  </si>
  <si>
    <t>10134100</t>
  </si>
  <si>
    <t>10134010</t>
  </si>
  <si>
    <t>10133950</t>
  </si>
  <si>
    <t>10133930</t>
  </si>
  <si>
    <t>10133920</t>
  </si>
  <si>
    <t>10133910</t>
  </si>
  <si>
    <t>10133600</t>
  </si>
  <si>
    <t>10133500</t>
  </si>
  <si>
    <t>10133420</t>
  </si>
  <si>
    <t>10133410</t>
  </si>
  <si>
    <t>10133300</t>
  </si>
  <si>
    <t>10133200</t>
  </si>
  <si>
    <t>10133100</t>
  </si>
  <si>
    <t>10133000</t>
  </si>
  <si>
    <t>10132010</t>
  </si>
  <si>
    <t>10131154</t>
  </si>
  <si>
    <t>10131153</t>
  </si>
  <si>
    <t>10131152</t>
  </si>
  <si>
    <t>10131150</t>
  </si>
  <si>
    <t>10131140</t>
  </si>
  <si>
    <t>10131130</t>
  </si>
  <si>
    <t>10131120</t>
  </si>
  <si>
    <t>10131110</t>
  </si>
  <si>
    <t>10131020</t>
  </si>
  <si>
    <t>10131000</t>
  </si>
  <si>
    <t>10130900</t>
  </si>
  <si>
    <t>10130800</t>
  </si>
  <si>
    <t>10130700</t>
  </si>
  <si>
    <t>10130600</t>
  </si>
  <si>
    <t>10130500</t>
  </si>
  <si>
    <t>10130450</t>
  </si>
  <si>
    <t>10130440</t>
  </si>
  <si>
    <t>10130430</t>
  </si>
  <si>
    <t>10130420</t>
  </si>
  <si>
    <t>10130410</t>
  </si>
  <si>
    <t>10130360</t>
  </si>
  <si>
    <t>10130350</t>
  </si>
  <si>
    <t>10130340</t>
  </si>
  <si>
    <t>10130330</t>
  </si>
  <si>
    <t>10130320</t>
  </si>
  <si>
    <t>10130200</t>
  </si>
  <si>
    <t>10130100</t>
  </si>
  <si>
    <t>Pumping</t>
  </si>
  <si>
    <t>Admin &amp; General</t>
  </si>
  <si>
    <t>Rents-Property</t>
  </si>
  <si>
    <t>Rents-Equipment</t>
  </si>
  <si>
    <t>Forms</t>
  </si>
  <si>
    <t>UPIS</t>
  </si>
  <si>
    <t>AFUDC</t>
  </si>
  <si>
    <t xml:space="preserve">Leased </t>
  </si>
  <si>
    <t>Held</t>
  </si>
  <si>
    <t>Insurance</t>
  </si>
  <si>
    <t>Account</t>
  </si>
  <si>
    <t>Rent</t>
  </si>
  <si>
    <t>UPIS Sold</t>
  </si>
  <si>
    <t>Employee Benefits</t>
  </si>
  <si>
    <t>Category (1)</t>
  </si>
  <si>
    <t>Category (2)</t>
  </si>
  <si>
    <t>Bank Service Charges</t>
  </si>
  <si>
    <t>Telelcommunications</t>
  </si>
  <si>
    <t>Regulatory Expense</t>
  </si>
  <si>
    <t>Category (3)</t>
  </si>
  <si>
    <t>Asset</t>
  </si>
  <si>
    <t>Liability</t>
  </si>
  <si>
    <t>Other Expenses</t>
  </si>
  <si>
    <t>Depreciation Expense</t>
  </si>
  <si>
    <t>Removal Cost</t>
  </si>
  <si>
    <t>Taxes Other Than Income</t>
  </si>
  <si>
    <t>Federal Income Tax</t>
  </si>
  <si>
    <t>State Income Tax</t>
  </si>
  <si>
    <t>FIT-Other</t>
  </si>
  <si>
    <t>SIT-Other</t>
  </si>
  <si>
    <t>FIT-Deferred</t>
  </si>
  <si>
    <t>SIT-Deferred</t>
  </si>
  <si>
    <t>ITC Restored</t>
  </si>
  <si>
    <t>Gross Receipt Tax</t>
  </si>
  <si>
    <t>Other Taxes</t>
  </si>
  <si>
    <t>Operations Expense</t>
  </si>
  <si>
    <t>Chart of Account Table</t>
  </si>
  <si>
    <t>Combine the COA and ZSE16 SKB1 table</t>
  </si>
  <si>
    <t>NARUC Master Table</t>
  </si>
  <si>
    <t>Add Category (1)  :  Categories are : For Balance Sheet Accounts :  UPIS, CWIP,  For P&amp; L Lines, Revenues, Source of Supply, Water Treatment, T&amp;D, Admin &amp; General, Customer Accounts, Etc</t>
  </si>
  <si>
    <t>UPAA</t>
  </si>
  <si>
    <t>Non-Utility Property</t>
  </si>
  <si>
    <t>Add Category (2)  :  Categorized with more focused on the expense side:  Operations Expense, Maintenace Expense,  Income Taxes, Taxes Other Than Income</t>
  </si>
  <si>
    <t xml:space="preserve">Add Category (3)  :  Categorized with more focused on the expense side: </t>
  </si>
  <si>
    <t>Public Authority</t>
  </si>
  <si>
    <t>Residential-WW</t>
  </si>
  <si>
    <t>Commercial-WW</t>
  </si>
  <si>
    <t>Industrial-WW</t>
  </si>
  <si>
    <t>Miscellaneous-WW</t>
  </si>
  <si>
    <t>Public Authority-WW</t>
  </si>
  <si>
    <t>Sales for Resale-WW</t>
  </si>
  <si>
    <t>Customer Related-WW</t>
  </si>
  <si>
    <t>Communications</t>
  </si>
  <si>
    <t>Revenues-Water</t>
  </si>
  <si>
    <t>Revenues-WW</t>
  </si>
  <si>
    <t>NARUC</t>
  </si>
  <si>
    <t>ACCOUNT DESCRIPTION</t>
  </si>
  <si>
    <t>NET PLANT IN SERVICE</t>
  </si>
  <si>
    <t>INTANGIBLE PLANT</t>
  </si>
  <si>
    <t>SOURCE OF SUPPLY (SS)</t>
  </si>
  <si>
    <t>WATER PUMPING</t>
  </si>
  <si>
    <t>WATER TREATMENT</t>
  </si>
  <si>
    <t>GENERAL PLANT</t>
  </si>
  <si>
    <t>ADDITIONS TO RATE BASE</t>
  </si>
  <si>
    <t>REDUCTIONS TO RATE BASE</t>
  </si>
  <si>
    <t>TOTAL RATE BASE</t>
  </si>
  <si>
    <t>Mains</t>
  </si>
  <si>
    <t>Reg Asset</t>
  </si>
  <si>
    <t>Leased Asset</t>
  </si>
  <si>
    <t>WW Organization</t>
  </si>
  <si>
    <t>WW Franchises</t>
  </si>
  <si>
    <t>WW Collecting Mains</t>
  </si>
  <si>
    <t>WW Communication Equip</t>
  </si>
  <si>
    <t>WW Laboratory Equipment</t>
  </si>
  <si>
    <t>WW Misc Equipment</t>
  </si>
  <si>
    <t>WW Plant Sewers</t>
  </si>
  <si>
    <t>WW Receiving Wells</t>
  </si>
  <si>
    <t>WW Services Sewer</t>
  </si>
  <si>
    <t>WW Special Coll Struct</t>
  </si>
  <si>
    <t>WW TD Equipment</t>
  </si>
  <si>
    <t>WW Tool Shop &amp; Garage Equip</t>
  </si>
  <si>
    <t>CCNC Other P/E - Intangible</t>
  </si>
  <si>
    <t>CCNC Distribution Reservoirs &amp; Standpipes</t>
  </si>
  <si>
    <t>CCNC Water Treatment Equipment -  Non-Media</t>
  </si>
  <si>
    <t>CCNC Transmssn &amp; Distr Mains Not Classified</t>
  </si>
  <si>
    <t>CCNC Land &amp; Land Rights - Admin &amp; General</t>
  </si>
  <si>
    <t>CCNC Lake &amp; River &amp; Other</t>
  </si>
  <si>
    <t>Account Description</t>
  </si>
  <si>
    <t>WW Stores Equipment</t>
  </si>
  <si>
    <t>WW Power Operated Equip</t>
  </si>
  <si>
    <t>OPERATION &amp; MAINTENANCE EXPENSES</t>
  </si>
  <si>
    <t>Alt Acct(2)</t>
  </si>
  <si>
    <t>WW</t>
  </si>
  <si>
    <t>Customer Accounting</t>
  </si>
  <si>
    <t>Storage</t>
  </si>
  <si>
    <t>STORAGE</t>
  </si>
  <si>
    <t>METERS</t>
  </si>
  <si>
    <t>SERVICES</t>
  </si>
  <si>
    <t>HYDRANTS</t>
  </si>
  <si>
    <t xml:space="preserve">TOTAL WATER PROPERTY </t>
  </si>
  <si>
    <t>Rate Base</t>
  </si>
  <si>
    <t>Other Operating Revenues</t>
  </si>
  <si>
    <t>Increase</t>
  </si>
  <si>
    <t>Total $ Amount</t>
  </si>
  <si>
    <t>TOTAL MAINTENANCE EXPENSES</t>
  </si>
  <si>
    <t>TOTAL OPERATIONS &amp; MAINTENANCE EXPENSES</t>
  </si>
  <si>
    <t>TOTAL OPERATIONS EXPENSES</t>
  </si>
  <si>
    <t>TAXES OTHER THAN INCOME</t>
  </si>
  <si>
    <t>TOTAL OPERATING EXPENSES</t>
  </si>
  <si>
    <t>TOTAL INCOME TAXES</t>
  </si>
  <si>
    <t>INCOME TAXES</t>
  </si>
  <si>
    <t>Total Taxes Other Than Income</t>
  </si>
  <si>
    <t>TOTAL WASTEWATER PROPERTY</t>
  </si>
  <si>
    <t>General T/D</t>
  </si>
  <si>
    <t>Net Plant</t>
  </si>
  <si>
    <t>Transmission</t>
  </si>
  <si>
    <t>Distribution</t>
  </si>
  <si>
    <t>General Mains</t>
  </si>
  <si>
    <t>DEPRECIATION EXPENSE</t>
  </si>
  <si>
    <t>CHANGE "MAINS" TO "GENERAL MAINS"</t>
  </si>
  <si>
    <t>ADD CATEGORIES FOR "GENERAL T/D", "TRANSMISSION", AND "DISTRIBUTION"</t>
  </si>
  <si>
    <t>Change "Mains" to "General Mains"</t>
  </si>
  <si>
    <t>Alternate</t>
  </si>
  <si>
    <t>Change Category (2) to Alternate definitions</t>
  </si>
  <si>
    <t>Source of</t>
  </si>
  <si>
    <t>Water</t>
  </si>
  <si>
    <t>Alloc</t>
  </si>
  <si>
    <t>Description</t>
  </si>
  <si>
    <t>Supply</t>
  </si>
  <si>
    <t>Treatment</t>
  </si>
  <si>
    <t>Customers</t>
  </si>
  <si>
    <t>Total</t>
  </si>
  <si>
    <t>Variance</t>
  </si>
  <si>
    <t>Source of Supply Expense</t>
  </si>
  <si>
    <t>Operating Expense</t>
  </si>
  <si>
    <t>A</t>
  </si>
  <si>
    <t>Total SS Expense</t>
  </si>
  <si>
    <t>Power and Pumping Expenses</t>
  </si>
  <si>
    <t>B</t>
  </si>
  <si>
    <t>Total Pumping Expense</t>
  </si>
  <si>
    <t>Total Water Treatment Expense</t>
  </si>
  <si>
    <t>Transmission &amp; Distribution Expense</t>
  </si>
  <si>
    <t>G</t>
  </si>
  <si>
    <t>F</t>
  </si>
  <si>
    <t>J</t>
  </si>
  <si>
    <t>H</t>
  </si>
  <si>
    <t>Total T&amp;D Expense</t>
  </si>
  <si>
    <t>Customer Accounts</t>
  </si>
  <si>
    <t>I</t>
  </si>
  <si>
    <t>Total Customer Accounting Expense</t>
  </si>
  <si>
    <t>Administrative &amp; General Expense</t>
  </si>
  <si>
    <t>Total A&amp;G Expense</t>
  </si>
  <si>
    <t>Taxes Other Than Income Tax</t>
  </si>
  <si>
    <t>Plant Account</t>
  </si>
  <si>
    <t>Water Pumping</t>
  </si>
  <si>
    <t>E</t>
  </si>
  <si>
    <t>Total Depreciation Expense</t>
  </si>
  <si>
    <t>Total Amortization Expense</t>
  </si>
  <si>
    <t>Total Income Tax Expense</t>
  </si>
  <si>
    <t>Additions to Rate Base</t>
  </si>
  <si>
    <t>Cash Working Capital</t>
  </si>
  <si>
    <t>Utility Plant Acquisition Adjustment</t>
  </si>
  <si>
    <t>Materlals &amp; Supplies</t>
  </si>
  <si>
    <t>Total Additions</t>
  </si>
  <si>
    <t>Reductions to Rate Base</t>
  </si>
  <si>
    <t>Total Reductions</t>
  </si>
  <si>
    <t>Miscellaneous T&amp;D Operating Expense</t>
  </si>
  <si>
    <t>Miscellaneous T&amp;D Maintenance Expense</t>
  </si>
  <si>
    <t>Fixed O&amp;M</t>
  </si>
  <si>
    <t>Variable Cost</t>
  </si>
  <si>
    <t>2020 Cost of Service Study - Allocator Summary</t>
  </si>
  <si>
    <t>Notes</t>
  </si>
  <si>
    <t>T/D Oper. Expense</t>
  </si>
  <si>
    <t>T/D Maint.. Expense</t>
  </si>
  <si>
    <t>Net Plant (less gen. and int.)</t>
  </si>
  <si>
    <t>--</t>
  </si>
  <si>
    <t>------</t>
  </si>
  <si>
    <t>Private</t>
  </si>
  <si>
    <t>Public</t>
  </si>
  <si>
    <t>Fire</t>
  </si>
  <si>
    <t>Total Usage</t>
  </si>
  <si>
    <t>Base/Extra Daily</t>
  </si>
  <si>
    <t>---</t>
  </si>
  <si>
    <t>Base/Extra Daily w/ Fire</t>
  </si>
  <si>
    <t>Base/Extra Hourly w/ Fire</t>
  </si>
  <si>
    <t>WATER PROPERTY DEPRECIATION EXPENSE</t>
  </si>
  <si>
    <t>WW PROPERTY DEPRECIATION EXPENSE</t>
  </si>
  <si>
    <t>TOTAL DEPRECIATION EXPENSE</t>
  </si>
  <si>
    <t>General Mains Expense</t>
  </si>
  <si>
    <t>Storage Expense</t>
  </si>
  <si>
    <t>Total Storage Expense</t>
  </si>
  <si>
    <t>Meter Expense</t>
  </si>
  <si>
    <t>Total Meter Expense</t>
  </si>
  <si>
    <t>Service Expense</t>
  </si>
  <si>
    <t>Total Service Expense</t>
  </si>
  <si>
    <t>Hydrant Expense</t>
  </si>
  <si>
    <t>2020 Cost of Service Study - Class Allocators</t>
  </si>
  <si>
    <t>1. VARIABLE COST</t>
  </si>
  <si>
    <t>Item</t>
  </si>
  <si>
    <t>Units</t>
  </si>
  <si>
    <t>Thousand Gallons</t>
  </si>
  <si>
    <t>Allocator</t>
  </si>
  <si>
    <t>2. BASE/EXTRA DAILY</t>
  </si>
  <si>
    <t>Average Daily Use</t>
  </si>
  <si>
    <t>Extra Capacity</t>
  </si>
  <si>
    <t>System Capacity Factor</t>
  </si>
  <si>
    <t>Average Day Allocator</t>
  </si>
  <si>
    <t>Extra Capacity Allocator</t>
  </si>
  <si>
    <t>assuming fire protection</t>
  </si>
  <si>
    <t>Combined Allocator</t>
  </si>
  <si>
    <t>Average Hourly Use</t>
  </si>
  <si>
    <t>-----</t>
  </si>
  <si>
    <t>Fire Allocator</t>
  </si>
  <si>
    <t>Non-Fire Allocation of Storage</t>
  </si>
  <si>
    <t>Fire Allocaton of Storage</t>
  </si>
  <si>
    <t>Non-Fire Allocator</t>
  </si>
  <si>
    <t>Factor 4</t>
  </si>
  <si>
    <t>Factor 5</t>
  </si>
  <si>
    <t>Tranmission Weighting</t>
  </si>
  <si>
    <t>Average system hourly load</t>
  </si>
  <si>
    <t>Distribution Weighting</t>
  </si>
  <si>
    <t>Average system hourly load - max day with fire protection (incremental)</t>
  </si>
  <si>
    <t>Total Hydrants</t>
  </si>
  <si>
    <t>Weighting</t>
  </si>
  <si>
    <t>5/8-METER</t>
  </si>
  <si>
    <t>3/4-METER</t>
  </si>
  <si>
    <t>1-METER</t>
  </si>
  <si>
    <t>1.5-METER</t>
  </si>
  <si>
    <t>2-METER</t>
  </si>
  <si>
    <t>3-METER</t>
  </si>
  <si>
    <t>4-METER</t>
  </si>
  <si>
    <t>6-METER</t>
  </si>
  <si>
    <t>8-METER</t>
  </si>
  <si>
    <t>10-METER</t>
  </si>
  <si>
    <t>12-METER</t>
  </si>
  <si>
    <t>16-METER</t>
  </si>
  <si>
    <t xml:space="preserve">----- </t>
  </si>
  <si>
    <t>Total Customers</t>
  </si>
  <si>
    <t>2020 Cost of Service Study - Usage Statistics</t>
  </si>
  <si>
    <t>thousand gallons</t>
  </si>
  <si>
    <t>Average Day Usage</t>
  </si>
  <si>
    <t>Max Day Capacity Factor</t>
  </si>
  <si>
    <t xml:space="preserve">--- </t>
  </si>
  <si>
    <t>Max Day Usage</t>
  </si>
  <si>
    <t>Distribution Multiplier</t>
  </si>
  <si>
    <t>N/A</t>
  </si>
  <si>
    <t>Average Hourly Usage</t>
  </si>
  <si>
    <t>Max Hour Capacity Factor</t>
  </si>
  <si>
    <t>Max Hour Usage</t>
  </si>
  <si>
    <t>Revenue</t>
  </si>
  <si>
    <t>Meter</t>
  </si>
  <si>
    <t>Service</t>
  </si>
  <si>
    <t>System Load Factor:</t>
  </si>
  <si>
    <t>max day - thousand gallons per day</t>
  </si>
  <si>
    <t>Average system hourly flow on max day</t>
  </si>
  <si>
    <t>System Load Factor (fire):</t>
  </si>
  <si>
    <t>max day with fire - thousand gallons per day</t>
  </si>
  <si>
    <t>System Load Factor (Hourly)</t>
  </si>
  <si>
    <t>max hour - thousand gallons per day</t>
  </si>
  <si>
    <t>System Load Factor (Hourly fire)</t>
  </si>
  <si>
    <t>max hour with fire - thousand gallons per day</t>
  </si>
  <si>
    <t>Mains Statistics</t>
  </si>
  <si>
    <t>Type</t>
  </si>
  <si>
    <t>Pct</t>
  </si>
  <si>
    <t>Storage Statistics</t>
  </si>
  <si>
    <t>Total Capacity</t>
  </si>
  <si>
    <t>Fire Allocation</t>
  </si>
  <si>
    <t>percentage of storage needed for maximum fire protection day</t>
  </si>
  <si>
    <t>Non-Fire Allocation</t>
  </si>
  <si>
    <t>2020 Cost of Service Study - Functional Allocators to Customer Class</t>
  </si>
  <si>
    <t>Fixed</t>
  </si>
  <si>
    <t>Variable</t>
  </si>
  <si>
    <t>Usage</t>
  </si>
  <si>
    <t>Percent Increase</t>
  </si>
  <si>
    <t>Functional COS</t>
  </si>
  <si>
    <t>Customer Count</t>
  </si>
  <si>
    <t>Meter Count</t>
  </si>
  <si>
    <t>Fuel and Power</t>
  </si>
  <si>
    <t>Salaries and Wages</t>
  </si>
  <si>
    <t>Building Maintenance and Services</t>
  </si>
  <si>
    <t>Rents</t>
  </si>
  <si>
    <t>Post Test Year</t>
  </si>
  <si>
    <t>Check</t>
  </si>
  <si>
    <t>TOTAL O&amp;M WW EXPENSES</t>
  </si>
  <si>
    <t>TOTAL O&amp;M WATER  EXPENSES</t>
  </si>
  <si>
    <t>TOTAL UTILITY PLANT (NET)</t>
  </si>
  <si>
    <t>TOTAL DEPRECIATION &amp; AMORTIZATION EXPENSES</t>
  </si>
  <si>
    <t>Total Water</t>
  </si>
  <si>
    <t>Total Company</t>
  </si>
  <si>
    <t>10-Inch and Larger</t>
  </si>
  <si>
    <t>Under 10-inch</t>
  </si>
  <si>
    <t>Plant Depreciation (Water)</t>
  </si>
  <si>
    <t>Amortization</t>
  </si>
  <si>
    <t>TOTAL AMORTIZATION EXPENSE</t>
  </si>
  <si>
    <t>Net Utility Plant</t>
  </si>
  <si>
    <t>TOTAL RATE BASE (Water)</t>
  </si>
  <si>
    <t>Total  Operations &amp; Maintenace Exp. (Water)</t>
  </si>
  <si>
    <t>Payroll Taxes</t>
  </si>
  <si>
    <t>Total Amortization Expense (Water)</t>
  </si>
  <si>
    <t>Total Taxes Other Than Income Taxes (Water)</t>
  </si>
  <si>
    <t>Total Income Taxes (Water)</t>
  </si>
  <si>
    <t>Required Net Operating Income (Water)</t>
  </si>
  <si>
    <t>check</t>
  </si>
  <si>
    <t>Plant Depreciation</t>
  </si>
  <si>
    <t>Test Year Water Revenue</t>
  </si>
  <si>
    <t>Other Water Operating Revenues</t>
  </si>
  <si>
    <t>Present Rate</t>
  </si>
  <si>
    <t>Proposed</t>
  </si>
  <si>
    <t>Percent</t>
  </si>
  <si>
    <t>Statistic</t>
  </si>
  <si>
    <t>Revenue Target</t>
  </si>
  <si>
    <t>Proposed Revenue</t>
  </si>
  <si>
    <t>Test Year Revenue</t>
  </si>
  <si>
    <t>Cost of Service Increase</t>
  </si>
  <si>
    <t>Revenue Summary &amp; Rate Impact</t>
  </si>
  <si>
    <t>Statistics</t>
  </si>
  <si>
    <t>Other</t>
  </si>
  <si>
    <t>COSS Revenue Target</t>
  </si>
  <si>
    <t>Support Services Costs - Admin</t>
  </si>
  <si>
    <t>Support Services Costs - Employee</t>
  </si>
  <si>
    <t>Total Retail Revenue Requirement (Water)</t>
  </si>
  <si>
    <t xml:space="preserve">Use SAP Tcode: S_ALR_87012326 </t>
  </si>
  <si>
    <t>C3011</t>
  </si>
  <si>
    <t>C3021</t>
  </si>
  <si>
    <t>Land &amp; Land Rights - Source of Supply</t>
  </si>
  <si>
    <t>C3032</t>
  </si>
  <si>
    <t>Land &amp; Land Rights - Pumping</t>
  </si>
  <si>
    <t>Land &amp; Land Rights - Water Treatment</t>
  </si>
  <si>
    <t>C3033</t>
  </si>
  <si>
    <t>Land &amp; Land Rights - Transmission &amp; Distrib</t>
  </si>
  <si>
    <t>C3034</t>
  </si>
  <si>
    <t>Land &amp; Land Rights - Admin &amp; General</t>
  </si>
  <si>
    <t>C3035</t>
  </si>
  <si>
    <t>Struct &amp; Imp - Source of Supply</t>
  </si>
  <si>
    <t>C3042</t>
  </si>
  <si>
    <t>Struct &amp; Imp - Pumping</t>
  </si>
  <si>
    <t>Struct &amp; Imp - Water Treatment</t>
  </si>
  <si>
    <t>C3043</t>
  </si>
  <si>
    <t>Struct &amp; Imp - Transmission &amp; Distribution</t>
  </si>
  <si>
    <t>C3044</t>
  </si>
  <si>
    <t>Struct &amp; Imp - Admin &amp; General</t>
  </si>
  <si>
    <t>C3045</t>
  </si>
  <si>
    <t>Collect &amp; Impounding</t>
  </si>
  <si>
    <t>C3052</t>
  </si>
  <si>
    <t>Lake &amp; River &amp; Other</t>
  </si>
  <si>
    <t>C3062</t>
  </si>
  <si>
    <t>C3072</t>
  </si>
  <si>
    <t>Infiltration Galleries</t>
  </si>
  <si>
    <t>C3082</t>
  </si>
  <si>
    <t>C3092</t>
  </si>
  <si>
    <t>Power Generation Equipment</t>
  </si>
  <si>
    <t>C3102</t>
  </si>
  <si>
    <t>Boiler Plant Equipment</t>
  </si>
  <si>
    <t>C3112</t>
  </si>
  <si>
    <t>Pumping Equipment - Steam</t>
  </si>
  <si>
    <t>Pumping Equipment - Electric</t>
  </si>
  <si>
    <t>Pumping Equipment - Diesel</t>
  </si>
  <si>
    <t>Pumping Equipment - Hydraulic</t>
  </si>
  <si>
    <t>Pumping Equipment - Other</t>
  </si>
  <si>
    <t>Pumping Equipment - Source of Supply</t>
  </si>
  <si>
    <t>Pumping Equipment - Water Treatment</t>
  </si>
  <si>
    <t>C3113</t>
  </si>
  <si>
    <t>Pumping Equipment - Transmission &amp; Distrib</t>
  </si>
  <si>
    <t>C3114</t>
  </si>
  <si>
    <t>Water Treatment Equipment</t>
  </si>
  <si>
    <t>C3203</t>
  </si>
  <si>
    <t>Distribution Reservoirs &amp; Standpipes</t>
  </si>
  <si>
    <t>C3304</t>
  </si>
  <si>
    <t>Transmission &amp; Distribution Mains</t>
  </si>
  <si>
    <t>C3314</t>
  </si>
  <si>
    <t>C3334</t>
  </si>
  <si>
    <t>C3344</t>
  </si>
  <si>
    <t>C3354</t>
  </si>
  <si>
    <t>C3364</t>
  </si>
  <si>
    <t>Other P/E - Intangible</t>
  </si>
  <si>
    <t>C3391</t>
  </si>
  <si>
    <t>Other P/E - Source of Supply</t>
  </si>
  <si>
    <t>C3392</t>
  </si>
  <si>
    <t>Other P/E - Water Treatment</t>
  </si>
  <si>
    <t>C3393</t>
  </si>
  <si>
    <t>Other P/E - Transmission &amp; Distribution</t>
  </si>
  <si>
    <t>C3394</t>
  </si>
  <si>
    <t>Office Furniture &amp; Equipment</t>
  </si>
  <si>
    <t>C3405</t>
  </si>
  <si>
    <t>Transportation Equipment</t>
  </si>
  <si>
    <t>C3415</t>
  </si>
  <si>
    <t>C3425</t>
  </si>
  <si>
    <t>Tools-Shop-Garage Equipment</t>
  </si>
  <si>
    <t>C3435</t>
  </si>
  <si>
    <t>C3445</t>
  </si>
  <si>
    <t>C3455</t>
  </si>
  <si>
    <t>Communication Equipment</t>
  </si>
  <si>
    <t>C3465</t>
  </si>
  <si>
    <t>C3475</t>
  </si>
  <si>
    <t>C3485</t>
  </si>
  <si>
    <t>C3511</t>
  </si>
  <si>
    <t>C3521</t>
  </si>
  <si>
    <t>WW Other Intangible</t>
  </si>
  <si>
    <t>WW Land &amp; Land Rights - Coll</t>
  </si>
  <si>
    <t>C3532</t>
  </si>
  <si>
    <t>WW Land &amp; Land Rights - SPP</t>
  </si>
  <si>
    <t>C3533</t>
  </si>
  <si>
    <t>WW Land &amp; Land Rights - TDP</t>
  </si>
  <si>
    <t>C3534</t>
  </si>
  <si>
    <t>WW Land &amp; Land Rights - General</t>
  </si>
  <si>
    <t>C3537</t>
  </si>
  <si>
    <t>WW Struct &amp; Imp - Coll</t>
  </si>
  <si>
    <t>C3542</t>
  </si>
  <si>
    <t>WW Struct &amp; Imp - SPP</t>
  </si>
  <si>
    <t>C3543</t>
  </si>
  <si>
    <t>WW Struct &amp; Imp - TDP</t>
  </si>
  <si>
    <t>C3544</t>
  </si>
  <si>
    <t>WW Struct &amp; Imp - General</t>
  </si>
  <si>
    <t>C3547</t>
  </si>
  <si>
    <t>WW Pwr Gen Equipment -  Col</t>
  </si>
  <si>
    <t>C3552</t>
  </si>
  <si>
    <t>WW Pwr Gen Equipment -  SPP</t>
  </si>
  <si>
    <t>C3553</t>
  </si>
  <si>
    <t>WW Pwr Gen Equipment -  TDP</t>
  </si>
  <si>
    <t>C3554</t>
  </si>
  <si>
    <t>WW Pwr Gen Equipment -  RWT</t>
  </si>
  <si>
    <t>C3555</t>
  </si>
  <si>
    <t>WW Pwr Gen Equipment -  RWD</t>
  </si>
  <si>
    <t>C3556</t>
  </si>
  <si>
    <t>WW Collection Sewers</t>
  </si>
  <si>
    <t>C3602</t>
  </si>
  <si>
    <t>C3612</t>
  </si>
  <si>
    <t>C3622</t>
  </si>
  <si>
    <t>C3632</t>
  </si>
  <si>
    <t>WW Flow Measuring Device</t>
  </si>
  <si>
    <t>C3642</t>
  </si>
  <si>
    <t>WW Flow Measuring Install</t>
  </si>
  <si>
    <t>C3652</t>
  </si>
  <si>
    <t>C3703</t>
  </si>
  <si>
    <t>WW Pump Equipment - Elect</t>
  </si>
  <si>
    <t>C3713</t>
  </si>
  <si>
    <t>WW Pump Equipment - Oth Pwr</t>
  </si>
  <si>
    <t>WW - Transmission &amp; D244Distribution Equip</t>
  </si>
  <si>
    <t>C3804</t>
  </si>
  <si>
    <t>C3814</t>
  </si>
  <si>
    <t>WW Outfall Sewer Line</t>
  </si>
  <si>
    <t>C3824</t>
  </si>
  <si>
    <t>WW Oth Plant &amp; Misc Equipment</t>
  </si>
  <si>
    <t>C3891</t>
  </si>
  <si>
    <t>WW Oth Plant &amp; Misc Equipment - Coll</t>
  </si>
  <si>
    <t>C3892</t>
  </si>
  <si>
    <t>WW Oth Plant &amp; Misc Equipment - SPP</t>
  </si>
  <si>
    <t>C3893</t>
  </si>
  <si>
    <t>WW Oth Plant &amp; Misc Equipment - TDP</t>
  </si>
  <si>
    <t>C3894</t>
  </si>
  <si>
    <t>WW Office Furniture</t>
  </si>
  <si>
    <t>C3907</t>
  </si>
  <si>
    <t>WW Transportation Equipment</t>
  </si>
  <si>
    <t>C3917</t>
  </si>
  <si>
    <t>C3927</t>
  </si>
  <si>
    <t>WW Tool Shop &amp; Garage</t>
  </si>
  <si>
    <t>C3937</t>
  </si>
  <si>
    <t>C3947</t>
  </si>
  <si>
    <t>WW Power Operated Equipment</t>
  </si>
  <si>
    <t>C3957</t>
  </si>
  <si>
    <t>WW Communication Equipment</t>
  </si>
  <si>
    <t>C3967</t>
  </si>
  <si>
    <t>C3977</t>
  </si>
  <si>
    <t>WW Other Tangible Pl</t>
  </si>
  <si>
    <t>C3987</t>
  </si>
  <si>
    <t>C101</t>
  </si>
  <si>
    <t>C103</t>
  </si>
  <si>
    <t>C104</t>
  </si>
  <si>
    <t>Land &amp; Land Rights - Transmssn &amp; Distr</t>
  </si>
  <si>
    <t>Pumping Equipment - Transmssn &amp; Distr</t>
  </si>
  <si>
    <t>Water Treatment Equipment -  Non-Media</t>
  </si>
  <si>
    <t>Transmssn &amp; Distr Mains Not Classified</t>
  </si>
  <si>
    <t>Transportation Equipment Not Classified</t>
  </si>
  <si>
    <t>WW Land &amp; Land Rights - Gen</t>
  </si>
  <si>
    <t>WW Struct &amp; Imp - Gen</t>
  </si>
  <si>
    <t>WW Power Gen Equipment - Col</t>
  </si>
  <si>
    <t>WW Power Gen Equipment - SPP</t>
  </si>
  <si>
    <t>WW Power Gen Equipment - TDP</t>
  </si>
  <si>
    <t>WW Power Gen Equipment - RWT</t>
  </si>
  <si>
    <t>WW Power Gen Equipment - RWD</t>
  </si>
  <si>
    <t>WW Special Coll Stru</t>
  </si>
  <si>
    <t>WW Flow Measuring De</t>
  </si>
  <si>
    <t>WW Flow Measuring In</t>
  </si>
  <si>
    <t>WW Oth Plant &amp; Misc Eq - Coll</t>
  </si>
  <si>
    <t>WW Oth Plant &amp; Misc Eq - SPP</t>
  </si>
  <si>
    <t>WW Oth Plant &amp; Misc Eq - TDP</t>
  </si>
  <si>
    <t>C105</t>
  </si>
  <si>
    <t>C1081</t>
  </si>
  <si>
    <t>C1082</t>
  </si>
  <si>
    <t>C1083</t>
  </si>
  <si>
    <t>C1101</t>
  </si>
  <si>
    <t>C114</t>
  </si>
  <si>
    <t>C115</t>
  </si>
  <si>
    <t>C121</t>
  </si>
  <si>
    <t>C122</t>
  </si>
  <si>
    <t>C123</t>
  </si>
  <si>
    <t>C125</t>
  </si>
  <si>
    <t>C1312</t>
  </si>
  <si>
    <t>C234</t>
  </si>
  <si>
    <t>0013161100</t>
  </si>
  <si>
    <t>0013161106</t>
  </si>
  <si>
    <t>0013161107</t>
  </si>
  <si>
    <t>0013161108</t>
  </si>
  <si>
    <t>0013161109</t>
  </si>
  <si>
    <t>0013161110</t>
  </si>
  <si>
    <t>0013161111</t>
  </si>
  <si>
    <t>0013161112</t>
  </si>
  <si>
    <t>0013161113</t>
  </si>
  <si>
    <t>0013161114</t>
  </si>
  <si>
    <t>0013161115</t>
  </si>
  <si>
    <t>0013161116</t>
  </si>
  <si>
    <t>0013161117</t>
  </si>
  <si>
    <t>0013161118</t>
  </si>
  <si>
    <t>C134</t>
  </si>
  <si>
    <t>C135</t>
  </si>
  <si>
    <t>C141</t>
  </si>
  <si>
    <t>C143</t>
  </si>
  <si>
    <t>C173</t>
  </si>
  <si>
    <t>C145</t>
  </si>
  <si>
    <t>C171</t>
  </si>
  <si>
    <t>C146</t>
  </si>
  <si>
    <t>C142</t>
  </si>
  <si>
    <t>C144</t>
  </si>
  <si>
    <t>C151</t>
  </si>
  <si>
    <t>C153</t>
  </si>
  <si>
    <t>C133</t>
  </si>
  <si>
    <t>C174</t>
  </si>
  <si>
    <t>C162</t>
  </si>
  <si>
    <t>C1863</t>
  </si>
  <si>
    <t>C1862</t>
  </si>
  <si>
    <t>C1861</t>
  </si>
  <si>
    <t>0018621000</t>
  </si>
  <si>
    <t>C181</t>
  </si>
  <si>
    <t>C183</t>
  </si>
  <si>
    <t>0018680226</t>
  </si>
  <si>
    <t>C201</t>
  </si>
  <si>
    <t>C207</t>
  </si>
  <si>
    <t>C211</t>
  </si>
  <si>
    <t>C215</t>
  </si>
  <si>
    <t>C216</t>
  </si>
  <si>
    <t>C205</t>
  </si>
  <si>
    <t>C204</t>
  </si>
  <si>
    <t>C221</t>
  </si>
  <si>
    <t>C224</t>
  </si>
  <si>
    <t>C232</t>
  </si>
  <si>
    <t>C231</t>
  </si>
  <si>
    <t>C233</t>
  </si>
  <si>
    <t>C23612</t>
  </si>
  <si>
    <t>C23611</t>
  </si>
  <si>
    <t>C2371</t>
  </si>
  <si>
    <t>C241</t>
  </si>
  <si>
    <t>C2372</t>
  </si>
  <si>
    <t>C238</t>
  </si>
  <si>
    <t>C235</t>
  </si>
  <si>
    <t>C2531</t>
  </si>
  <si>
    <t>C252</t>
  </si>
  <si>
    <t>C283</t>
  </si>
  <si>
    <t>C1901</t>
  </si>
  <si>
    <t>C1902</t>
  </si>
  <si>
    <t>C2551</t>
  </si>
  <si>
    <t>C2532</t>
  </si>
  <si>
    <t>C265</t>
  </si>
  <si>
    <t>C271</t>
  </si>
  <si>
    <t>C272</t>
  </si>
  <si>
    <t>C4611</t>
  </si>
  <si>
    <t>C460</t>
  </si>
  <si>
    <t>C4612</t>
  </si>
  <si>
    <t>C4613</t>
  </si>
  <si>
    <t>C4621</t>
  </si>
  <si>
    <t>C4622</t>
  </si>
  <si>
    <t>C4614</t>
  </si>
  <si>
    <t>C466</t>
  </si>
  <si>
    <t>C467</t>
  </si>
  <si>
    <t>C474</t>
  </si>
  <si>
    <t>C5221</t>
  </si>
  <si>
    <t>C471</t>
  </si>
  <si>
    <t>C472</t>
  </si>
  <si>
    <t>C5222</t>
  </si>
  <si>
    <t>C5223</t>
  </si>
  <si>
    <t>C5224</t>
  </si>
  <si>
    <t>C536</t>
  </si>
  <si>
    <t>C469</t>
  </si>
  <si>
    <t>C470</t>
  </si>
  <si>
    <t>C473</t>
  </si>
  <si>
    <t>C532</t>
  </si>
  <si>
    <t>C6018</t>
  </si>
  <si>
    <t>C6011</t>
  </si>
  <si>
    <t>C6013</t>
  </si>
  <si>
    <t>C6015</t>
  </si>
  <si>
    <t>C6017</t>
  </si>
  <si>
    <t>C6038</t>
  </si>
  <si>
    <t>C6012</t>
  </si>
  <si>
    <t>C6014</t>
  </si>
  <si>
    <t>C6016</t>
  </si>
  <si>
    <t>C6048</t>
  </si>
  <si>
    <t>C6041</t>
  </si>
  <si>
    <t>C6043</t>
  </si>
  <si>
    <t>C6045</t>
  </si>
  <si>
    <t>C6047</t>
  </si>
  <si>
    <t>C6101</t>
  </si>
  <si>
    <t>C6758</t>
  </si>
  <si>
    <t>C6753</t>
  </si>
  <si>
    <t>C6158</t>
  </si>
  <si>
    <t>C6151</t>
  </si>
  <si>
    <t>C6153</t>
  </si>
  <si>
    <t>C6155</t>
  </si>
  <si>
    <t>C6157</t>
  </si>
  <si>
    <t>C6161</t>
  </si>
  <si>
    <t>C6183</t>
  </si>
  <si>
    <t>C6205</t>
  </si>
  <si>
    <t>C6201</t>
  </si>
  <si>
    <t>C6203</t>
  </si>
  <si>
    <t>C6207</t>
  </si>
  <si>
    <t>C6208</t>
  </si>
  <si>
    <t>C6751</t>
  </si>
  <si>
    <t>C6755</t>
  </si>
  <si>
    <t>C6757</t>
  </si>
  <si>
    <t>C6608</t>
  </si>
  <si>
    <t>C6318</t>
  </si>
  <si>
    <t>C6311</t>
  </si>
  <si>
    <t>C6313</t>
  </si>
  <si>
    <t>C6315</t>
  </si>
  <si>
    <t>C6317</t>
  </si>
  <si>
    <t>C6368</t>
  </si>
  <si>
    <t>C6361</t>
  </si>
  <si>
    <t>C6363</t>
  </si>
  <si>
    <t>C6365</t>
  </si>
  <si>
    <t>C6367</t>
  </si>
  <si>
    <t>C6353</t>
  </si>
  <si>
    <t>C6328</t>
  </si>
  <si>
    <t>C6338</t>
  </si>
  <si>
    <t>C6348</t>
  </si>
  <si>
    <t>C6418</t>
  </si>
  <si>
    <t>C6411</t>
  </si>
  <si>
    <t>C6413</t>
  </si>
  <si>
    <t>C6415</t>
  </si>
  <si>
    <t>C6417</t>
  </si>
  <si>
    <t>C6428</t>
  </si>
  <si>
    <t>C6421</t>
  </si>
  <si>
    <t>C6423</t>
  </si>
  <si>
    <t>C6425</t>
  </si>
  <si>
    <t>C6427</t>
  </si>
  <si>
    <t>C6508</t>
  </si>
  <si>
    <t>C6501</t>
  </si>
  <si>
    <t>C6503</t>
  </si>
  <si>
    <t>C6505</t>
  </si>
  <si>
    <t>C6507</t>
  </si>
  <si>
    <t>C6502</t>
  </si>
  <si>
    <t>C6504</t>
  </si>
  <si>
    <t>C6506</t>
  </si>
  <si>
    <t>C6568</t>
  </si>
  <si>
    <t>C6578</t>
  </si>
  <si>
    <t>C6588</t>
  </si>
  <si>
    <t>C6598</t>
  </si>
  <si>
    <t>C6668</t>
  </si>
  <si>
    <t>C6678</t>
  </si>
  <si>
    <t>C6707</t>
  </si>
  <si>
    <t>C426</t>
  </si>
  <si>
    <t>C6202</t>
  </si>
  <si>
    <t>C6204</t>
  </si>
  <si>
    <t>C6206</t>
  </si>
  <si>
    <t>C6752</t>
  </si>
  <si>
    <t>C6754</t>
  </si>
  <si>
    <t>C6756</t>
  </si>
  <si>
    <t>C6312</t>
  </si>
  <si>
    <t>C6314</t>
  </si>
  <si>
    <t>C6316</t>
  </si>
  <si>
    <t>C6362</t>
  </si>
  <si>
    <t>C6364</t>
  </si>
  <si>
    <t>C6366</t>
  </si>
  <si>
    <t>C403</t>
  </si>
  <si>
    <t>C4071</t>
  </si>
  <si>
    <t>C406</t>
  </si>
  <si>
    <t>C4072</t>
  </si>
  <si>
    <t>C4074</t>
  </si>
  <si>
    <t>C4073</t>
  </si>
  <si>
    <t>C40811</t>
  </si>
  <si>
    <t>C40820</t>
  </si>
  <si>
    <t>C40812</t>
  </si>
  <si>
    <t>C40813</t>
  </si>
  <si>
    <t>C40810</t>
  </si>
  <si>
    <t>C40910</t>
  </si>
  <si>
    <t>C40911</t>
  </si>
  <si>
    <t>C40920</t>
  </si>
  <si>
    <t>C41010</t>
  </si>
  <si>
    <t>C41011</t>
  </si>
  <si>
    <t>C41211</t>
  </si>
  <si>
    <t>C420</t>
  </si>
  <si>
    <t>C419</t>
  </si>
  <si>
    <t>C415</t>
  </si>
  <si>
    <t>C416</t>
  </si>
  <si>
    <t>C421</t>
  </si>
  <si>
    <t>C4273</t>
  </si>
  <si>
    <t>C437</t>
  </si>
  <si>
    <t>C4272</t>
  </si>
  <si>
    <t>C4275</t>
  </si>
  <si>
    <t>C428</t>
  </si>
  <si>
    <t>C438</t>
  </si>
  <si>
    <t>Iowa American Water</t>
  </si>
  <si>
    <t>Financial Statement Item</t>
  </si>
  <si>
    <t>Account Number</t>
  </si>
  <si>
    <t>Text for B/S P&amp;L item</t>
  </si>
  <si>
    <t>Water revenues - residential</t>
  </si>
  <si>
    <t>40111000 Residential Sales Billed</t>
  </si>
  <si>
    <t>40111100 Residential Sales Billed Surcharge</t>
  </si>
  <si>
    <t>40111200 Residential Sales Billed DSIC</t>
  </si>
  <si>
    <t>40112000 Residential Sales Unbilled</t>
  </si>
  <si>
    <t>Water revenues - commercial</t>
  </si>
  <si>
    <t>40121000 Commercial Sales Billed</t>
  </si>
  <si>
    <t>40121200 Commercial Sales Billed DSIC</t>
  </si>
  <si>
    <t>40122000 Commercial Sales Unbilled</t>
  </si>
  <si>
    <t>Water revenues - industrial</t>
  </si>
  <si>
    <t>40131000 Industrial Sales Billed</t>
  </si>
  <si>
    <t>40131200 Industrial Sales Billed DSIC</t>
  </si>
  <si>
    <t>40132000 Industiral Sales Unbilled</t>
  </si>
  <si>
    <t>Water revenues - public fire</t>
  </si>
  <si>
    <t>40142000 Public Fire Unbilled</t>
  </si>
  <si>
    <t>Water revenues - private fire</t>
  </si>
  <si>
    <t>40145000 Private Fire Billed</t>
  </si>
  <si>
    <t>40145100 Private Fire Billed Surcharge</t>
  </si>
  <si>
    <t>40145200 Private Fire Billed DSIC</t>
  </si>
  <si>
    <t>40146000 Private Fire Unbilled</t>
  </si>
  <si>
    <t>Water revenues - public authority</t>
  </si>
  <si>
    <t>40151000 Public Authority Billed</t>
  </si>
  <si>
    <t>40151100 Public Authority Billed Surcharge</t>
  </si>
  <si>
    <t>40151200 Public Authority Billed DSIC</t>
  </si>
  <si>
    <t>40152000 Public Authority Unbilled</t>
  </si>
  <si>
    <t>Water revenues - other</t>
  </si>
  <si>
    <t>40171000 Misc Sales Billed</t>
  </si>
  <si>
    <t>40171300 Misc Sales Billed Unmetered</t>
  </si>
  <si>
    <t>40172000 Misc Sales Unbilled</t>
  </si>
  <si>
    <t>40189900 Other Water Revenue</t>
  </si>
  <si>
    <t>Sewer revenues</t>
  </si>
  <si>
    <t>40251000 Public Authority WW Service Billed</t>
  </si>
  <si>
    <t>Other revenues</t>
  </si>
  <si>
    <t>40310100 Other Revenue - Late Payment Charge</t>
  </si>
  <si>
    <t>40310200 Other Revenue - Rent</t>
  </si>
  <si>
    <t>40310250 Other Revenue - Rent Interco</t>
  </si>
  <si>
    <t>40310400 Other Revenue - NSF Check Charge</t>
  </si>
  <si>
    <t>40310500 Other Revenue - Application/Initiation Fee</t>
  </si>
  <si>
    <t>40310600 Other Revenue - Usage Data</t>
  </si>
  <si>
    <t>40310700 Other Revenue - Reconnection Fee</t>
  </si>
  <si>
    <t>40310800 Other Revenue - Frozen Meter</t>
  </si>
  <si>
    <t>40313000 Other Revenue - After Hrs Charge</t>
  </si>
  <si>
    <t>40319900 Other Revenue - Misc Service</t>
  </si>
  <si>
    <t>Fuel and power</t>
  </si>
  <si>
    <t>51510011 Purchased Power - Source of Supply</t>
  </si>
  <si>
    <t>51510012 Purchased Power - Pumping</t>
  </si>
  <si>
    <t>51510014 Purchased Power - Transmission &amp; Distribution</t>
  </si>
  <si>
    <t>51510016 Purchased Power - Admin &amp; General</t>
  </si>
  <si>
    <t>51520000 Fuel for Power Production</t>
  </si>
  <si>
    <t>51800000 Chemicals</t>
  </si>
  <si>
    <t>Waste disposal</t>
  </si>
  <si>
    <t>51110000 Waste Disposal</t>
  </si>
  <si>
    <t>Salaries and wages</t>
  </si>
  <si>
    <t>50100000 Labor Natural Account</t>
  </si>
  <si>
    <t>50100001 Labor Expense Accrual</t>
  </si>
  <si>
    <t>50101200 Labor Oper Pumping</t>
  </si>
  <si>
    <t>50101210 Labor Oper Pumping - Power Prod</t>
  </si>
  <si>
    <t>50101300 Labor Oper Water Treatment</t>
  </si>
  <si>
    <t>50101305 Labor Oper Water Treatment - Super &amp; Eng</t>
  </si>
  <si>
    <t>50101400 Labor Oper Transmission &amp; Distribution</t>
  </si>
  <si>
    <t>50101405 Labor Oper Trans &amp; Distr - Super &amp; Eng</t>
  </si>
  <si>
    <t>50101415 Labor Oper Trans &amp; Distr - Lines</t>
  </si>
  <si>
    <t>50101420 Labor Oper Trans &amp; Distr - Meter</t>
  </si>
  <si>
    <t>50101425 Labor Oper Trans &amp; Distr - Meter Install</t>
  </si>
  <si>
    <t>50101500 Labor Oper Customer Accounting</t>
  </si>
  <si>
    <t>50101510 Labor Oper Customer Acctg - Meter Read</t>
  </si>
  <si>
    <t>50101515 Labor Oper Customer Acctg - Cust Rec &amp; Coll</t>
  </si>
  <si>
    <t>50101600 Labor Oper Admin &amp; General</t>
  </si>
  <si>
    <t>50102205 Labor Maint Pumping - Super &amp; Eng</t>
  </si>
  <si>
    <t>50102210 Labor Maint Pumping - Struct &amp; Imp</t>
  </si>
  <si>
    <t>50102215 Labor Maint Pumping - Power Prod</t>
  </si>
  <si>
    <t>50102310 Labor Maint Water Treatment - Struct &amp; Imp</t>
  </si>
  <si>
    <t>50102315 Labor Maint Water Treatment - Equipment</t>
  </si>
  <si>
    <t>50102400 Labor Maint Transmission &amp; Distribution</t>
  </si>
  <si>
    <t>50102420 Labor Maint Transmssn &amp; Distr - Mains</t>
  </si>
  <si>
    <t>50102430 Labor Maint Transmssn &amp; Distr - Service</t>
  </si>
  <si>
    <t>50102440 Labor Maint Transmssn &amp; Distr - Hydrants</t>
  </si>
  <si>
    <t>50109900 Labor Capitalized Credits</t>
  </si>
  <si>
    <t>50110000 Labor Non-scheduled Overtime - Natural Account</t>
  </si>
  <si>
    <t>50111200 Labor Oper Non-scheduled Overtime- P</t>
  </si>
  <si>
    <t>50111300 Labor Oper Non-scheduled Overtime- WT</t>
  </si>
  <si>
    <t>50111305 Labor Oper Non-scheduled Overtime- WT Super &amp; Eng</t>
  </si>
  <si>
    <t>50111400 Labor Oper Non-scheduled Overtime- TD</t>
  </si>
  <si>
    <t>50111415 Labor Oper Non-scheduled Overtime- TD Lines</t>
  </si>
  <si>
    <t>50111420 Labor Oper Non-scheduled Overtime- TD Meter</t>
  </si>
  <si>
    <t>50111425 Labor Oper Non-scheduled OT-TD Meter Install</t>
  </si>
  <si>
    <t>50111500 Labor Oper Non-scheduled Overtime- CA</t>
  </si>
  <si>
    <t>50111510 Labor Oper Non-scheduled Overtime- CA Meter Read</t>
  </si>
  <si>
    <t>50111515 Labor Oper Non-scheduled OT - CA Cust Rec &amp; Coll</t>
  </si>
  <si>
    <t>50111600 Labor Oper Non-scheduled Overtime- AG</t>
  </si>
  <si>
    <t>50112210 Labor Maint Non-scheduled Overtime- P Struct &amp; Imp</t>
  </si>
  <si>
    <t>50112215 Labor Maint Non-scheduled Overtime- P Power Prod</t>
  </si>
  <si>
    <t>50112310 Labor Maint Non-scheduled OT - WT Struct &amp; Imp</t>
  </si>
  <si>
    <t>50112315 Labor Maint Non-scheduled Overtime- WT Equipment</t>
  </si>
  <si>
    <t>50112400 Labor Maint Non-scheduled Overtime- TD</t>
  </si>
  <si>
    <t>50112420 Labor Maint Non-scheduled Overtime- TD Mains</t>
  </si>
  <si>
    <t>50112430 Labor Maint Non-scheduled Overtime- TD Service</t>
  </si>
  <si>
    <t>50112440 Labor Maint Non-scheduled Overtime- TD Hydrant</t>
  </si>
  <si>
    <t>50119900 Labor Non-scheduled Overtime- Capitalized Credits</t>
  </si>
  <si>
    <t>50120000 Labor Overtime - Natural Account</t>
  </si>
  <si>
    <t>50121200 Labor Oper Scheduled Overtime-P</t>
  </si>
  <si>
    <t>50121400 Labor Oper Scheduled Overtime-TD</t>
  </si>
  <si>
    <t>50121415 Labor Oper Scheduled Overtime-TD Lines</t>
  </si>
  <si>
    <t>50121515 Labor Oper Scheduled Overtime-CA Cust Rec &amp; Coll</t>
  </si>
  <si>
    <t>50122310 Labor Maint Scheduled Overtime-WT Struct &amp; Imp</t>
  </si>
  <si>
    <t>50122420 Labor Maint Scheduled Overtime-TD Mains</t>
  </si>
  <si>
    <t>50122440 Labor Maint Scheduled Overtime-TD Hydrant</t>
  </si>
  <si>
    <t>50129900 Labor Scheduled Overtime- Capitalized Credits</t>
  </si>
  <si>
    <t>50171000 Annual Performance Plan</t>
  </si>
  <si>
    <t>50171100 Annual Performance Plan Cap Credits</t>
  </si>
  <si>
    <t>50171600 Compensation Exp - Options</t>
  </si>
  <si>
    <t>50171800 Compensation Expense - RSU/PSU</t>
  </si>
  <si>
    <t>50185000 Severance</t>
  </si>
  <si>
    <t>Pension expense</t>
  </si>
  <si>
    <t>50610000 Pension Expense</t>
  </si>
  <si>
    <t>50610100 Pension Capitalized Credits</t>
  </si>
  <si>
    <t>71810000 Other Non-service Pension Benefit Cost</t>
  </si>
  <si>
    <t>Group insurance expense</t>
  </si>
  <si>
    <t>50510000 PBOP Expense</t>
  </si>
  <si>
    <t>50510100 PBOP Capitalized Credits</t>
  </si>
  <si>
    <t>50550000 Group Insurance Expense</t>
  </si>
  <si>
    <t>50550100 Group Insurance Capitalized Credits</t>
  </si>
  <si>
    <t>50560000 Health Savings Account Expense</t>
  </si>
  <si>
    <t>71820000 Other Non-service PBOP Benefit Cost</t>
  </si>
  <si>
    <t>Other benefits</t>
  </si>
  <si>
    <t>50421000 401k Expense</t>
  </si>
  <si>
    <t>50421100 401k Expense Cap Credits</t>
  </si>
  <si>
    <t>50422000 Defined Compensation Plan Expense</t>
  </si>
  <si>
    <t>50422100 Defined Comp Plan Exp Cap Credits</t>
  </si>
  <si>
    <t>50423000 Employee Stock Purchase Plan Expense</t>
  </si>
  <si>
    <t>50424000 DC Restoration Expense</t>
  </si>
  <si>
    <t>50426000 Retiree Medical Expense</t>
  </si>
  <si>
    <t>50426100 Retiree Medical Expense Cap Credits</t>
  </si>
  <si>
    <t>50450012 Other Welfare - Pumping</t>
  </si>
  <si>
    <t>50450013 Other Welfare - Water Treatment</t>
  </si>
  <si>
    <t>50450014 Other Welfare - Transm &amp; Distrib</t>
  </si>
  <si>
    <t>50450015 Other Welfare - Customer Accounting</t>
  </si>
  <si>
    <t>50450016 Other Welfare - Admin &amp; General</t>
  </si>
  <si>
    <t>50451000 Employee Awards</t>
  </si>
  <si>
    <t>50452000 Employee Physical Exams</t>
  </si>
  <si>
    <t>50454000 Safety Incentive Awards</t>
  </si>
  <si>
    <t>50456000 Tuition Aid</t>
  </si>
  <si>
    <t>50457000 Training</t>
  </si>
  <si>
    <t>50458000 Referral Bonus</t>
  </si>
  <si>
    <t>53401000 AWWSC Services - Labor OPEX</t>
  </si>
  <si>
    <t>53401100 AWWSC Services - Pension OPEX</t>
  </si>
  <si>
    <t>53401200 AWWSC Services - Group Insurance OPEX</t>
  </si>
  <si>
    <t>53401300 AWWSC Services - Other Benefits OPEX</t>
  </si>
  <si>
    <t>53401400 AWWSC Services - Contracted Services OPEX</t>
  </si>
  <si>
    <t>53401500 AWWSC Services - Office Supplies OPEX</t>
  </si>
  <si>
    <t>53401700 AWWSC Services - Rents OPEX</t>
  </si>
  <si>
    <t>53401900 AWWSC Services - Maint Supplies &amp; Svcs OPEX</t>
  </si>
  <si>
    <t>53402100 AWWSC Services - Other O&amp;M Expense OPEX</t>
  </si>
  <si>
    <t>53402200 AWWSC Services - Depr &amp; Amort OPEX</t>
  </si>
  <si>
    <t>53402300 AWWSC Services - General Taxes OPEX</t>
  </si>
  <si>
    <t>53402400 AWWSC Services - Net Interest OPEX</t>
  </si>
  <si>
    <t>53402500 AWWSC Services - Other Inc &amp; Ded OPEX</t>
  </si>
  <si>
    <t>53402600 AWWSC Services - Income Taxes OPEX</t>
  </si>
  <si>
    <t>Contracted services</t>
  </si>
  <si>
    <t>53110011 Contract Svc-Eng - Source of Supply</t>
  </si>
  <si>
    <t>53150011 Contract Svc-Other - Source of Supply</t>
  </si>
  <si>
    <t>53150013 Contract Svc-Other - Water Treatment</t>
  </si>
  <si>
    <t>53150014 Contract Svc-Other - Transmission &amp; Distribution</t>
  </si>
  <si>
    <t>53150015 Contract Svc-Other - Customer Accounting</t>
  </si>
  <si>
    <t>53150016 Contract Svc-Other - Admin &amp; General</t>
  </si>
  <si>
    <t>53151016 Contract Svc-Temp Empl - Admin &amp; General</t>
  </si>
  <si>
    <t>53153000 Contract Services - Accounting</t>
  </si>
  <si>
    <t>53154000 Contract Services - Audit Fees</t>
  </si>
  <si>
    <t>53155000 Contract Services - Legal</t>
  </si>
  <si>
    <t>53157000 Contract Services - Outplacement</t>
  </si>
  <si>
    <t>Building Maintenance</t>
  </si>
  <si>
    <t>52532016 Electricity - Admin &amp; General</t>
  </si>
  <si>
    <t>52546011 Grounds Keeping - Source of Supply</t>
  </si>
  <si>
    <t>52546013 Grounds Keeping - Water Treatment</t>
  </si>
  <si>
    <t>52546014 Grounds Keeping - Transmission &amp; Distribution</t>
  </si>
  <si>
    <t>52546016 Grounds Keeping - Admin &amp; General</t>
  </si>
  <si>
    <t>52548011 Heating Oil/Gas - Source of Supply</t>
  </si>
  <si>
    <t>52548016 Heating Oil/Gas - Admin &amp; General</t>
  </si>
  <si>
    <t>52550012 Janitorial - Pumping</t>
  </si>
  <si>
    <t>52550013 Janitorial - Water Treatment</t>
  </si>
  <si>
    <t>52550014 Janitorial - Transmission &amp; Distribution</t>
  </si>
  <si>
    <t>52550015 Janitorial - Customer Accounting</t>
  </si>
  <si>
    <t>52550016 Janitorial - Admin &amp; General</t>
  </si>
  <si>
    <t>52571011 Security Service - Source of Supply</t>
  </si>
  <si>
    <t>52571013 Security Service - Water Treatment</t>
  </si>
  <si>
    <t>52571016 Security Service - Admin &amp; General</t>
  </si>
  <si>
    <t>52578011 Trash Removal - Source of Supply</t>
  </si>
  <si>
    <t>52578013 Trash Removal - Water Treatment</t>
  </si>
  <si>
    <t>52578014 Trash Removal - Transmission &amp; Distribution</t>
  </si>
  <si>
    <t>52578016 Trash Removal - Admin &amp; General</t>
  </si>
  <si>
    <t>52583011 Water &amp; WW - Source of Supply</t>
  </si>
  <si>
    <t>52583014 Water &amp; WW - Transmission &amp; Distribution</t>
  </si>
  <si>
    <t>52583016 Water &amp; WW - Admin &amp; General</t>
  </si>
  <si>
    <t>Telecommunication expense</t>
  </si>
  <si>
    <t>52574013 Telephone - Water Treatment</t>
  </si>
  <si>
    <t>52574014 Telephone - Transmission &amp; Distribution</t>
  </si>
  <si>
    <t>52574016 Telephone - Admin &amp; General</t>
  </si>
  <si>
    <t>52574114 Cell Phone - Transmission &amp; Distribution</t>
  </si>
  <si>
    <t>52574115 Cell Phone - Customer Accounting</t>
  </si>
  <si>
    <t>52574116 Cell Phone - Admin &amp; General</t>
  </si>
  <si>
    <t>Postage, printing and stationary</t>
  </si>
  <si>
    <t>52562511 Overnight Shipping - Source of Supply</t>
  </si>
  <si>
    <t>52562513 Overnight Shipping - Water Treatment</t>
  </si>
  <si>
    <t>52562514 Overnight Shipping - Transmission &amp; Distribution</t>
  </si>
  <si>
    <t>52562516 Overnight Shipping - Admin &amp; General</t>
  </si>
  <si>
    <t>52566016 Postage - Admin &amp; General</t>
  </si>
  <si>
    <t>52566700 Printing</t>
  </si>
  <si>
    <t>Office supplies and services</t>
  </si>
  <si>
    <t>52510016 Bank Service Charges - Admin &amp; General</t>
  </si>
  <si>
    <t>52512500 Books &amp; Publications</t>
  </si>
  <si>
    <t>52526100 Credit Line Fees Interco</t>
  </si>
  <si>
    <t>52562011 Office &amp; Admin Supplies - Source of Supply</t>
  </si>
  <si>
    <t>52562013 Office &amp; Admin Supplies - Water Treatment</t>
  </si>
  <si>
    <t>52562014 Office &amp; Admin Supplies - Transmssn &amp; Distr</t>
  </si>
  <si>
    <t>52562015 Office &amp; Admin Supplies - Customer Accounting</t>
  </si>
  <si>
    <t>52562016 Office &amp; Admin Supplies - Admin &amp; General</t>
  </si>
  <si>
    <t>52571500 Software Licenses</t>
  </si>
  <si>
    <t>52582011 Uniforms - Source of Supply</t>
  </si>
  <si>
    <t>52582012 Uniforms - Pumping</t>
  </si>
  <si>
    <t>52582013 Uniforms - Water Treatment</t>
  </si>
  <si>
    <t>52582014 Uniforms - Transmission &amp; Distribution</t>
  </si>
  <si>
    <t>52582015 Uniforms - Customer Accounting</t>
  </si>
  <si>
    <t>52582016 Uniforms - Admin &amp; General</t>
  </si>
  <si>
    <t>52801100 Indirect Overhead Clearing</t>
  </si>
  <si>
    <t>Advertising &amp; marketing</t>
  </si>
  <si>
    <t>52503000 Advertising</t>
  </si>
  <si>
    <t>52577500 Trade Shows</t>
  </si>
  <si>
    <t>Employee related expense</t>
  </si>
  <si>
    <t>52534000 Employee Expenses</t>
  </si>
  <si>
    <t>52534200 Conferences &amp; Registration</t>
  </si>
  <si>
    <t>52535000 Meals Deductible</t>
  </si>
  <si>
    <t>52567000 Relocation Expenses</t>
  </si>
  <si>
    <t>Miscellaneous expense</t>
  </si>
  <si>
    <t>52001100 M &amp; S Oper - Source of Supply</t>
  </si>
  <si>
    <t>52001200 M &amp; S Oper - Pumping</t>
  </si>
  <si>
    <t>52001300 M &amp; S Oper - Water Treatment</t>
  </si>
  <si>
    <t>52001400 M &amp; S Oper - Transmission &amp; Distribution</t>
  </si>
  <si>
    <t>52001500 M &amp; S Oper - Customer Accounting</t>
  </si>
  <si>
    <t>52001600 M &amp; S Oper - Admin &amp; General</t>
  </si>
  <si>
    <t>52501100 Misc Oper - Source of Supply</t>
  </si>
  <si>
    <t>52501200 Misc Oper - Pumping</t>
  </si>
  <si>
    <t>52501300 Misc Oper - Water Treatment</t>
  </si>
  <si>
    <t>52501400 Misc Oper - Transmission &amp; Distribution</t>
  </si>
  <si>
    <t>52501410 Misc Oper - Transmission &amp; Distribution Storage</t>
  </si>
  <si>
    <t>52501600 Misc Oper - Admin &amp; General</t>
  </si>
  <si>
    <t>52513200 Business Development</t>
  </si>
  <si>
    <t>52514000 Charitable Contribution Deductible</t>
  </si>
  <si>
    <t>52514500 Charitable Donations - Health/Education/Environmnt</t>
  </si>
  <si>
    <t>52514600 Charitable Donations - Community</t>
  </si>
  <si>
    <t>52514700 Community Partnerships</t>
  </si>
  <si>
    <t>52514900 Customer Education</t>
  </si>
  <si>
    <t>52515000 Community Relations - Events</t>
  </si>
  <si>
    <t>52515001 Community Relations - Specialty</t>
  </si>
  <si>
    <t>52522000 Community Relations</t>
  </si>
  <si>
    <t>52524000 Co Dues/Membership Deductible</t>
  </si>
  <si>
    <t>52540000 Amort Bus Services Proj Exp</t>
  </si>
  <si>
    <t>52548100 Hiring Costs</t>
  </si>
  <si>
    <t>52549500 Inventory Physical Write-off Scrap</t>
  </si>
  <si>
    <t>52554500 Lab Supplies</t>
  </si>
  <si>
    <t>52556000 Lobbying Expenses</t>
  </si>
  <si>
    <t>52568000 Research &amp; Development</t>
  </si>
  <si>
    <t>52579000 Trustee Fees</t>
  </si>
  <si>
    <t>52585000 Discounts Available</t>
  </si>
  <si>
    <t>52586000 PO Small Price Differences - within tolerance</t>
  </si>
  <si>
    <t>54110016 Rents-Real Property - Admin &amp; General</t>
  </si>
  <si>
    <t>54140011 Rents-Equipment - Source of Supply</t>
  </si>
  <si>
    <t>54140012 Rents-Equipment - Pumping</t>
  </si>
  <si>
    <t>54140014 Rents-Equipment - Transmission &amp; Distribution</t>
  </si>
  <si>
    <t>54140016 Rents-Equipment - Admin &amp; General</t>
  </si>
  <si>
    <t>Transportation expense</t>
  </si>
  <si>
    <t>55000000 Transportation (O&amp;M) - Natural Account</t>
  </si>
  <si>
    <t>55000013 Transportation Oper - Water Treatment</t>
  </si>
  <si>
    <t>55000016 Transportation Oper - Admin &amp; General</t>
  </si>
  <si>
    <t>55000024 Transportation Maint - Transmission &amp; Distribution</t>
  </si>
  <si>
    <t>55000100 Transportation Capitalized Credits</t>
  </si>
  <si>
    <t>55010100 Transportation Lease Costs</t>
  </si>
  <si>
    <t>55010200 Transportation Lease Fuel</t>
  </si>
  <si>
    <t>55010300 Transportation Lease Maint</t>
  </si>
  <si>
    <t>55010500 Transportation - Reimburse Employee Personal Use</t>
  </si>
  <si>
    <t>Uncollectible accounts expense</t>
  </si>
  <si>
    <t>57010015 Uncollectible Accounts Exp - Customer Accounting</t>
  </si>
  <si>
    <t>57010016 Uncollectible Accounts Exp - Admin &amp; General</t>
  </si>
  <si>
    <t>Customer accounting, other</t>
  </si>
  <si>
    <t>52501500 Misc Oper - Customer Accounting</t>
  </si>
  <si>
    <t>52501515 Misc Oper - Customer Accounting Cust Rec</t>
  </si>
  <si>
    <t>52510015 Bank Service Charges - Customer Accounting</t>
  </si>
  <si>
    <t>52520000 Collection Agencies</t>
  </si>
  <si>
    <t>52542015 Forms - Customer Accounting</t>
  </si>
  <si>
    <t>52562515 Overnight Shipping - Customer Accounting</t>
  </si>
  <si>
    <t>52566015 Postage - Customer Accounting</t>
  </si>
  <si>
    <t>Regulatory expense</t>
  </si>
  <si>
    <t>56611000 Regulatory Exp - Not Authorized</t>
  </si>
  <si>
    <t>56670000 Regulatory Exp - Other</t>
  </si>
  <si>
    <t>Insurance other than group</t>
  </si>
  <si>
    <t>55110000 Insurance Vehicle</t>
  </si>
  <si>
    <t>55710000 Insurance General Liabilty</t>
  </si>
  <si>
    <t>55711000 Insurance Casualty Reserve</t>
  </si>
  <si>
    <t>55720000 Insurance Workers Compensation</t>
  </si>
  <si>
    <t>55720100 Insurance WC Capitalized Credits</t>
  </si>
  <si>
    <t>55730000 Insurance Other</t>
  </si>
  <si>
    <t>55740000 Insurance Property</t>
  </si>
  <si>
    <t>Maintenance supplies and services</t>
  </si>
  <si>
    <t>62002100 M&amp;S Maint - Source of Supply</t>
  </si>
  <si>
    <t>62002200 M&amp;S Maint - Pumping</t>
  </si>
  <si>
    <t>62002300 M&amp;S Maint - Water Treatment</t>
  </si>
  <si>
    <t>62002400 M&amp;S Maint - Transmission &amp; Distribution</t>
  </si>
  <si>
    <t>62002600 M&amp;S Maint - Admin &amp; General</t>
  </si>
  <si>
    <t>62502100 Misc Maint - Source of Supply</t>
  </si>
  <si>
    <t>62502200 Misc Maint - Pumping</t>
  </si>
  <si>
    <t>62502210 Misc Maint - Pumping - Struct &amp; Imp</t>
  </si>
  <si>
    <t>62502300 Misc Maint - Water Treatment</t>
  </si>
  <si>
    <t>62502310 Misc Maint - Water Treatment - Struct &amp; Imp</t>
  </si>
  <si>
    <t>62502315 Misc Maint - Water Treatment - Equipment</t>
  </si>
  <si>
    <t>62502400 Misc Maint - Transmission &amp; Distribution</t>
  </si>
  <si>
    <t>62502420 Misc Maint - Transmission &amp; Distribution - Mains</t>
  </si>
  <si>
    <t>62502430 Misc Maint - Transmission &amp; Distribution - Service</t>
  </si>
  <si>
    <t>62502440 Misc Maint - Transmission &amp; Distribution - Hydrant</t>
  </si>
  <si>
    <t>62502600 Misc Maint - Admin &amp; General</t>
  </si>
  <si>
    <t>62512400 Amort Def Maint - Transmission &amp; Distribution</t>
  </si>
  <si>
    <t>62520700 Misc Maint Paving/Backfill</t>
  </si>
  <si>
    <t>62520824 Misc Maint Permits - Transmission &amp; Distribution</t>
  </si>
  <si>
    <t>63110024 Contract Svc-Eng Maint - Transmission &amp; Distr</t>
  </si>
  <si>
    <t>63150021 Contract Svc-Other Maint - Source of Supply</t>
  </si>
  <si>
    <t>63150022 Contract Svc-Other Maint - Pumping</t>
  </si>
  <si>
    <t>63150023 Contract Svc-Other Maint - Water Treatment</t>
  </si>
  <si>
    <t>63150024 Contract Svc-Other Maint - Transmission &amp; Distr</t>
  </si>
  <si>
    <t>63150026 Contract Svc-Other Maint - Admin &amp; General</t>
  </si>
  <si>
    <t>Capital movements</t>
  </si>
  <si>
    <t>88101000 Capital Movements - UP</t>
  </si>
  <si>
    <t>88106000 Capital Movements - CCNC</t>
  </si>
  <si>
    <t>88107000 Capital Movements - CWIP</t>
  </si>
  <si>
    <t>88108020 Capital Movements - UP - A/D - Salvage</t>
  </si>
  <si>
    <t>88252100 Capital Movements - ADV NT</t>
  </si>
  <si>
    <t>88252170 Capital Movements - ADV NT WIP</t>
  </si>
  <si>
    <t>88252200 Capital Movements - ADV Tax</t>
  </si>
  <si>
    <t>88252270 Capital Movements - ADV Tax WIP</t>
  </si>
  <si>
    <t>88257000 Capital Movements - Cost of Removal</t>
  </si>
  <si>
    <t>88257100 Capital Movements - RWIP</t>
  </si>
  <si>
    <t>88271100 Capital Movements - CIAC NT</t>
  </si>
  <si>
    <t>88271200 Capital Movements - CIAC Tax</t>
  </si>
  <si>
    <t>88271270 Capital Movements - CIAC Tax WIP</t>
  </si>
  <si>
    <t>88900000 Capital Movements - Settlement</t>
  </si>
  <si>
    <t>68011000 Depreciation Exp - UPIS General</t>
  </si>
  <si>
    <t>68011200 Depreciation Exp - Non-Utility Property</t>
  </si>
  <si>
    <t>68253000 Amortization - Post In-Service AFUDC</t>
  </si>
  <si>
    <t>68254000 Amortization - Reg Asset AFUDC</t>
  </si>
  <si>
    <t>68258000 Amortization - Reg Asset</t>
  </si>
  <si>
    <t>Removal costs, net</t>
  </si>
  <si>
    <t>68311000 Removal Costs - ARO/Net Neg Salvage</t>
  </si>
  <si>
    <t>Current federal income taxes</t>
  </si>
  <si>
    <t>69011000 FIT - Current</t>
  </si>
  <si>
    <t>69012000 FIT - Prior Year Adjustment</t>
  </si>
  <si>
    <t>Current state income taxes</t>
  </si>
  <si>
    <t>69021000 SIT - Current</t>
  </si>
  <si>
    <t>69022000 SIT - Prior Year Adjustment</t>
  </si>
  <si>
    <t>Deferred federal income taxes</t>
  </si>
  <si>
    <t>69062000 Deferred FIT - Prior Year Adjustment</t>
  </si>
  <si>
    <t>69063000 Deferred FIT - Reg Asset/Liability</t>
  </si>
  <si>
    <t>69065000 Deferred FIT - Other</t>
  </si>
  <si>
    <t>Deferred state income taxes</t>
  </si>
  <si>
    <t>69072000 Deferred SIT - Prior Year Adjustment</t>
  </si>
  <si>
    <t>69073000 Deferred SIT - Reg Asset/Liability</t>
  </si>
  <si>
    <t>69073500 Deferred SIT - Other</t>
  </si>
  <si>
    <t>Amortization of investment tax credits</t>
  </si>
  <si>
    <t>69522000 Investment Tax Credits Restored - 3%</t>
  </si>
  <si>
    <t>69523000 Investment Tax Credits Restored - 4%</t>
  </si>
  <si>
    <t>69524000 Investment Tax Credits Restored - 10%</t>
  </si>
  <si>
    <t>General taxes</t>
  </si>
  <si>
    <t>68520000 Property Taxes</t>
  </si>
  <si>
    <t>68532000 FUTA</t>
  </si>
  <si>
    <t>68532100 FUTA Cap Credits</t>
  </si>
  <si>
    <t>68533000 FICA</t>
  </si>
  <si>
    <t>68533100 FICA Cap Credits</t>
  </si>
  <si>
    <t>68535000 SUTA</t>
  </si>
  <si>
    <t>68535100 SUTA Cap Credits</t>
  </si>
  <si>
    <t>68543000 Other Taxes and Licenses</t>
  </si>
  <si>
    <t>68545000 Utility Reg Assessment</t>
  </si>
  <si>
    <t>Gain/Loss on sale of assets</t>
  </si>
  <si>
    <t>59011000 Gains/Losses Non-Utility Property Disposals</t>
  </si>
  <si>
    <t>Allowance for funds used during construction</t>
  </si>
  <si>
    <t>70510000 AFUDC - Equity</t>
  </si>
  <si>
    <t>Other miscellaneous income</t>
  </si>
  <si>
    <t>71511510 M&amp;J Rev WLPP Billing Intercompany</t>
  </si>
  <si>
    <t>71521000 M&amp;J Expenses</t>
  </si>
  <si>
    <t>71611000 Misc Nonutility Revenue</t>
  </si>
  <si>
    <t>71712000 Gains/Losses Other Non-Operating</t>
  </si>
  <si>
    <t>Other miscellaneous deductions</t>
  </si>
  <si>
    <t>75840000 Lobbying Expenses</t>
  </si>
  <si>
    <t>69031000 FIT - Other Income &amp; Deductions Current Year</t>
  </si>
  <si>
    <t>69041000 SIT - Other Income &amp; Deductions Current Year</t>
  </si>
  <si>
    <t>Interest on long-term debt</t>
  </si>
  <si>
    <t>81010000 Interest Long Term Debt</t>
  </si>
  <si>
    <t>81015000 Interest Long Term Debt Intercompany</t>
  </si>
  <si>
    <t>81016000 Interest expense-LTD debt discount amort inside</t>
  </si>
  <si>
    <t>81017200 Early Debt Retirement Loss - Intercompany</t>
  </si>
  <si>
    <t>Interest on short-term debt</t>
  </si>
  <si>
    <t>81315000 Interest Short Term Debt Intercompany</t>
  </si>
  <si>
    <t>Allowance for borrowed funds used during const</t>
  </si>
  <si>
    <t>85000000 AFUDC Debt</t>
  </si>
  <si>
    <t>Amortization of debt expense</t>
  </si>
  <si>
    <t>82010000 Amortize Debt Disc &amp; Exp</t>
  </si>
  <si>
    <t>82015000 Amortize Debt Disc &amp; Exp Intercompany</t>
  </si>
  <si>
    <t>82016000 Amortize Debt Exp Inside-Revolving Credit Line</t>
  </si>
  <si>
    <t>Common Dividends</t>
  </si>
  <si>
    <t>86021500 Dividend Declared Common Stock Intercompany</t>
  </si>
  <si>
    <t>Link from IA 2020 Rate Case - Proforma Income Statement</t>
  </si>
  <si>
    <t>Iowa American Water Company</t>
  </si>
  <si>
    <t>301000</t>
  </si>
  <si>
    <t xml:space="preserve"> Organization</t>
  </si>
  <si>
    <t>302000</t>
  </si>
  <si>
    <t xml:space="preserve"> Franchises</t>
  </si>
  <si>
    <t>339600</t>
  </si>
  <si>
    <t xml:space="preserve"> Other P/E - Comp. Planning</t>
  </si>
  <si>
    <t>303200</t>
  </si>
  <si>
    <t xml:space="preserve"> Land and land rights - source of supply</t>
  </si>
  <si>
    <t>304100</t>
  </si>
  <si>
    <t xml:space="preserve"> Structures and Improvements - SS</t>
  </si>
  <si>
    <t>306000</t>
  </si>
  <si>
    <t xml:space="preserve"> Lake River &amp; Other Intakes</t>
  </si>
  <si>
    <t>307000</t>
  </si>
  <si>
    <t xml:space="preserve"> Wells and Springs</t>
  </si>
  <si>
    <t>309000</t>
  </si>
  <si>
    <t xml:space="preserve"> Supply Mains</t>
  </si>
  <si>
    <t>303300</t>
  </si>
  <si>
    <t xml:space="preserve"> Land and land rights - production</t>
  </si>
  <si>
    <t>304200</t>
  </si>
  <si>
    <t xml:space="preserve"> Structures and Improvements - Prod.</t>
  </si>
  <si>
    <t>310000</t>
  </si>
  <si>
    <t xml:space="preserve"> Power Generation Equipment</t>
  </si>
  <si>
    <t>311200</t>
  </si>
  <si>
    <t xml:space="preserve"> Pumping Equipment - Electrical</t>
  </si>
  <si>
    <t>311500</t>
  </si>
  <si>
    <t xml:space="preserve"> Pumping Equipment - Other</t>
  </si>
  <si>
    <t>303400</t>
  </si>
  <si>
    <t xml:space="preserve"> Land and land rights - water treatment</t>
  </si>
  <si>
    <t>304300</t>
  </si>
  <si>
    <t xml:space="preserve"> Structures and Improvements - WT</t>
  </si>
  <si>
    <t>311530</t>
  </si>
  <si>
    <t xml:space="preserve"> Pumping Equipment - WT</t>
  </si>
  <si>
    <t>320100</t>
  </si>
  <si>
    <t xml:space="preserve"> Water Treatment Equip Non-Media</t>
  </si>
  <si>
    <t>320200</t>
  </si>
  <si>
    <t xml:space="preserve"> Water Treatment Equip Filter Media</t>
  </si>
  <si>
    <t>339300</t>
  </si>
  <si>
    <t xml:space="preserve"> Other P/E WT</t>
  </si>
  <si>
    <t>303500</t>
  </si>
  <si>
    <t xml:space="preserve"> Land and land rights - transmission</t>
  </si>
  <si>
    <t>304400</t>
  </si>
  <si>
    <t xml:space="preserve"> Structures and Improvements - TD</t>
  </si>
  <si>
    <t>330000</t>
  </si>
  <si>
    <t xml:space="preserve"> Distribution Reservoirs and Standpipes</t>
  </si>
  <si>
    <t>330100</t>
  </si>
  <si>
    <t xml:space="preserve"> Elevated Tanks and Standpipe</t>
  </si>
  <si>
    <t>330300</t>
  </si>
  <si>
    <t xml:space="preserve"> Below Grade Facilties</t>
  </si>
  <si>
    <t>330400</t>
  </si>
  <si>
    <t xml:space="preserve"> Clearwell</t>
  </si>
  <si>
    <t>331100</t>
  </si>
  <si>
    <t xml:space="preserve"> TD Mains 4in &amp; less</t>
  </si>
  <si>
    <t>331200</t>
  </si>
  <si>
    <t xml:space="preserve"> TD Mains 6in to 8 in </t>
  </si>
  <si>
    <t>331300</t>
  </si>
  <si>
    <t xml:space="preserve"> TD Mains 10in to 16in</t>
  </si>
  <si>
    <t>331400</t>
  </si>
  <si>
    <t xml:space="preserve"> TD Mains 18in &amp; greater</t>
  </si>
  <si>
    <t>333000</t>
  </si>
  <si>
    <t xml:space="preserve"> Services</t>
  </si>
  <si>
    <t>334110</t>
  </si>
  <si>
    <t xml:space="preserve"> Meters Bronze Case</t>
  </si>
  <si>
    <t>334120</t>
  </si>
  <si>
    <t xml:space="preserve"> Meters Plastic Case</t>
  </si>
  <si>
    <t>334130</t>
  </si>
  <si>
    <t xml:space="preserve"> Meters Other</t>
  </si>
  <si>
    <t>334131</t>
  </si>
  <si>
    <t xml:space="preserve"> Meter Reading Units</t>
  </si>
  <si>
    <t>334200</t>
  </si>
  <si>
    <t xml:space="preserve"> Meters Installations</t>
  </si>
  <si>
    <t>335000</t>
  </si>
  <si>
    <t xml:space="preserve"> Hydrants</t>
  </si>
  <si>
    <t>339500</t>
  </si>
  <si>
    <t xml:space="preserve"> Other P/E TD</t>
  </si>
  <si>
    <t>303600</t>
  </si>
  <si>
    <t xml:space="preserve"> Land and land rights - administrative</t>
  </si>
  <si>
    <t>304500</t>
  </si>
  <si>
    <t xml:space="preserve"> Structures and Improvements - AG</t>
  </si>
  <si>
    <t>304510</t>
  </si>
  <si>
    <t xml:space="preserve"> Structures and Improvements - Cap Lease</t>
  </si>
  <si>
    <t>304600</t>
  </si>
  <si>
    <t xml:space="preserve"> Office Structures</t>
  </si>
  <si>
    <t>304620</t>
  </si>
  <si>
    <t xml:space="preserve"> Structures and Improvements - Leasehold</t>
  </si>
  <si>
    <t>304700</t>
  </si>
  <si>
    <t xml:space="preserve"> Stores, Shop, and Garage Structures</t>
  </si>
  <si>
    <t>304800</t>
  </si>
  <si>
    <t xml:space="preserve"> Miscellaneous Structures</t>
  </si>
  <si>
    <t>339100</t>
  </si>
  <si>
    <t xml:space="preserve"> Other P/E Intangible</t>
  </si>
  <si>
    <t>340100</t>
  </si>
  <si>
    <t xml:space="preserve"> Office Furniture</t>
  </si>
  <si>
    <t>340200</t>
  </si>
  <si>
    <t xml:space="preserve"> Computer &amp; Peripheral</t>
  </si>
  <si>
    <t>340300</t>
  </si>
  <si>
    <t xml:space="preserve"> Computer Software</t>
  </si>
  <si>
    <t>340315</t>
  </si>
  <si>
    <t xml:space="preserve"> Computer Software Spec Depr Rate</t>
  </si>
  <si>
    <t>340320</t>
  </si>
  <si>
    <t xml:space="preserve"> Personal Computer Software</t>
  </si>
  <si>
    <t>340330</t>
  </si>
  <si>
    <t xml:space="preserve"> Computer Software Other</t>
  </si>
  <si>
    <t>340400</t>
  </si>
  <si>
    <t xml:space="preserve"> Data Handling Equipment</t>
  </si>
  <si>
    <t>340500</t>
  </si>
  <si>
    <t xml:space="preserve"> Other Office Equipment</t>
  </si>
  <si>
    <t>341100</t>
  </si>
  <si>
    <t>Light Duty Trucks</t>
  </si>
  <si>
    <t>341200</t>
  </si>
  <si>
    <t>Heavy Duty Trucks</t>
  </si>
  <si>
    <t>341300</t>
  </si>
  <si>
    <t xml:space="preserve"> Automobiles</t>
  </si>
  <si>
    <t>341400</t>
  </si>
  <si>
    <t xml:space="preserve"> Trans. Equipment - Other</t>
  </si>
  <si>
    <t>342000</t>
  </si>
  <si>
    <t xml:space="preserve"> Stores Equipment</t>
  </si>
  <si>
    <t>343000</t>
  </si>
  <si>
    <t xml:space="preserve"> Tools/Shop/Garage Equipment</t>
  </si>
  <si>
    <t>344000</t>
  </si>
  <si>
    <t xml:space="preserve"> Laboratory Equipment</t>
  </si>
  <si>
    <t>345000</t>
  </si>
  <si>
    <t xml:space="preserve"> Power Oper. Equipment</t>
  </si>
  <si>
    <t>346100</t>
  </si>
  <si>
    <t xml:space="preserve"> Comm. Equipment (Non-Telephone)</t>
  </si>
  <si>
    <t>346190</t>
  </si>
  <si>
    <t xml:space="preserve"> Remote Control &amp; Instrument</t>
  </si>
  <si>
    <t>346200</t>
  </si>
  <si>
    <t xml:space="preserve"> Comm. Equipment Telephone</t>
  </si>
  <si>
    <t>347000</t>
  </si>
  <si>
    <t xml:space="preserve"> Miscellaneous Equipment</t>
  </si>
  <si>
    <t>348000</t>
  </si>
  <si>
    <t xml:space="preserve"> Other Tangible Plant</t>
  </si>
  <si>
    <t>Linked from IA 2020 - UPIS Workpaper</t>
  </si>
  <si>
    <t>UPIS Future Test Year</t>
  </si>
  <si>
    <t>Ac. Depr. Future Test Year</t>
  </si>
  <si>
    <t>Depr Future Test Year</t>
  </si>
  <si>
    <t>Future Test Year</t>
  </si>
  <si>
    <t>Linked From IA 2020 - Fire Revenues Workpaper</t>
  </si>
  <si>
    <t>Linked From:  IA 2020 - Water Revenue Workpaper</t>
  </si>
  <si>
    <t>Linked From IA 2020 - Other Revenues Workpaper</t>
  </si>
  <si>
    <t>Rate Schedule A1-Residential</t>
  </si>
  <si>
    <t>Rate Schedule A1-Commercial</t>
  </si>
  <si>
    <t>Rate Schedule A1-Industrial</t>
  </si>
  <si>
    <t>Rate Schedule A1-OPA</t>
  </si>
  <si>
    <t>Rate Schedule A1-Miscellaneous</t>
  </si>
  <si>
    <t>Rate Schedule B1-Residential</t>
  </si>
  <si>
    <t>Rate Schedule B1-Commercial</t>
  </si>
  <si>
    <t>Rate Schedule B1-OPA</t>
  </si>
  <si>
    <t>Total Water Revenues</t>
  </si>
  <si>
    <t>Total Res, Com, Ind, OPA &amp; Misc</t>
  </si>
  <si>
    <t>OPA</t>
  </si>
  <si>
    <t>Misc</t>
  </si>
  <si>
    <t>Total IA Revenues</t>
  </si>
  <si>
    <t xml:space="preserve"> Revenues</t>
  </si>
  <si>
    <t>TRANSMISSION &amp; DISTRIBUTION</t>
  </si>
  <si>
    <t>2" Diameter</t>
  </si>
  <si>
    <t>3" Diameter</t>
  </si>
  <si>
    <t>4" Diameter</t>
  </si>
  <si>
    <t>6"Diameter</t>
  </si>
  <si>
    <t>8" Diameter</t>
  </si>
  <si>
    <t>10" Diameter</t>
  </si>
  <si>
    <t>12" Diamater</t>
  </si>
  <si>
    <t>Investment Tax Credit</t>
  </si>
  <si>
    <t>Category 2</t>
  </si>
  <si>
    <t xml:space="preserve"> Post-in-service AFUDC</t>
  </si>
  <si>
    <t xml:space="preserve">   Contributions in aid of construction</t>
  </si>
  <si>
    <t xml:space="preserve">   Customer advances for construction</t>
  </si>
  <si>
    <t xml:space="preserve">   Bad Debt Reserve</t>
  </si>
  <si>
    <t xml:space="preserve">   Deferred Taxes</t>
  </si>
  <si>
    <t xml:space="preserve">   Accumulated Deferred ITC - pre 1971</t>
  </si>
  <si>
    <t xml:space="preserve">   Cash Working Capital</t>
  </si>
  <si>
    <t xml:space="preserve">   Other Regulatory Deferrals</t>
  </si>
  <si>
    <t xml:space="preserve">   Materials and Supplies </t>
  </si>
  <si>
    <t xml:space="preserve">   Prepayments</t>
  </si>
  <si>
    <t xml:space="preserve"> Floodwall</t>
  </si>
  <si>
    <t>Depreciation Expense - Non-Utility Property</t>
  </si>
  <si>
    <t>Pro-Forma</t>
  </si>
  <si>
    <t>Depreciation - Non-Utility Property</t>
  </si>
  <si>
    <t>Transmission &amp; Distribution</t>
  </si>
  <si>
    <t>Rate of Return</t>
  </si>
  <si>
    <t>Total Water Rate Base</t>
  </si>
  <si>
    <t>Net Operating Income Required for Return on Rate Base (Water)</t>
  </si>
  <si>
    <t>Total Revenue Requirement (Check)</t>
  </si>
  <si>
    <t xml:space="preserve">Wooddale Water </t>
  </si>
  <si>
    <t xml:space="preserve">Royal Pines Water </t>
  </si>
  <si>
    <t>Total IAWC Revenues (Water)</t>
  </si>
  <si>
    <t>Present Rate Revenues</t>
  </si>
  <si>
    <t>Feet</t>
  </si>
  <si>
    <t>IOWA AMERICAN WATER COMPANY</t>
  </si>
  <si>
    <t>SUMMARY OF AVERAGE DAILY SEND OUT AND MAXIMUM DAILY USAGE</t>
  </si>
  <si>
    <t>FOR THE YEARS 1998-2015</t>
  </si>
  <si>
    <t>Average Daily</t>
  </si>
  <si>
    <t>Maximum Daily Use</t>
  </si>
  <si>
    <t>Send out</t>
  </si>
  <si>
    <t>Ratio to</t>
  </si>
  <si>
    <t>Year</t>
  </si>
  <si>
    <t>(MGD)</t>
  </si>
  <si>
    <t>MGD</t>
  </si>
  <si>
    <t>Average</t>
  </si>
  <si>
    <t>(1)</t>
  </si>
  <si>
    <t>(2)</t>
  </si>
  <si>
    <t>(3)</t>
  </si>
  <si>
    <t>(4)</t>
  </si>
  <si>
    <t>*</t>
  </si>
  <si>
    <t>* Adjusted due to water main leak.</t>
  </si>
  <si>
    <t>3. BASE/EXTRA DAILY (w FIRE PROTECTION)</t>
  </si>
  <si>
    <t>4. BASE/EXTRA HOURLY (w FIRE PROTECTION)</t>
  </si>
  <si>
    <t>5. STORAGE</t>
  </si>
  <si>
    <t>6. MAINS</t>
  </si>
  <si>
    <t>7. HYDRANTS</t>
  </si>
  <si>
    <t>8. METERS</t>
  </si>
  <si>
    <t>9. SERVICES</t>
  </si>
  <si>
    <t>10. CUSTOMERS</t>
  </si>
  <si>
    <t>11. METERED CUSTOMERS</t>
  </si>
  <si>
    <t>Service Company Costs - Admin</t>
  </si>
  <si>
    <t>Service Company Costs - Employee</t>
  </si>
  <si>
    <t>Miscellaneous Revenue</t>
  </si>
  <si>
    <t>Total Revenue Requirement (Water)</t>
  </si>
  <si>
    <t>Adjustments - Public Fire</t>
  </si>
  <si>
    <t>Adjustments - Private Fire</t>
  </si>
  <si>
    <t>11,500 gpm for 10 hours</t>
  </si>
  <si>
    <t xml:space="preserve">     -  CIAC-Non Taxable -  Mains</t>
  </si>
  <si>
    <t xml:space="preserve">     -  CIAC-Non Taxable -  Ext Dep</t>
  </si>
  <si>
    <t xml:space="preserve">     -  CIAC-Non Taxable -  Services</t>
  </si>
  <si>
    <t xml:space="preserve">     -  CIAC-Non Taxable -  Meters</t>
  </si>
  <si>
    <t xml:space="preserve">     -  CIAC-Non Taxable -  Hydrants</t>
  </si>
  <si>
    <t xml:space="preserve">     -  CIAC-Non Taxable -  Other</t>
  </si>
  <si>
    <t xml:space="preserve">     -  CIAC-Taxable - Mains</t>
  </si>
  <si>
    <t xml:space="preserve">     -  CIAC-Taxable - Extension Deposits</t>
  </si>
  <si>
    <t xml:space="preserve">     -  CIAC-Taxable - Hydrants</t>
  </si>
  <si>
    <t xml:space="preserve">     -  CIAC-Taxable - Other</t>
  </si>
  <si>
    <t xml:space="preserve">     -  CIAC-Taxable - WIP</t>
  </si>
  <si>
    <t xml:space="preserve">     -  CIAC-Taxable - Other SIT</t>
  </si>
  <si>
    <t xml:space="preserve">     -  CIAC-Taxable - Mains SIT</t>
  </si>
  <si>
    <t xml:space="preserve">     -  CIAC-Taxable - Hydrants SIT</t>
  </si>
  <si>
    <t xml:space="preserve">     -  Advances for Construction - NT Mains</t>
  </si>
  <si>
    <t xml:space="preserve">     -  Advances for Construction - NT Ext Deposits</t>
  </si>
  <si>
    <t xml:space="preserve">     -  Advances for Construction - Tax Mains</t>
  </si>
  <si>
    <t xml:space="preserve">     -  Advances for Construction - Tax Extension Deposits</t>
  </si>
  <si>
    <t xml:space="preserve">     -  Advances for Construction - Tax Hydrants</t>
  </si>
  <si>
    <t xml:space="preserve">     -  Advances for Construction - Tax WIP</t>
  </si>
  <si>
    <t xml:space="preserve">     -  Advances for Construction - Tax SIT</t>
  </si>
  <si>
    <t xml:space="preserve">     -  Advances for Construction - Tax Mains - FIT</t>
  </si>
  <si>
    <t xml:space="preserve">     -  Advances for Construction - Tax Extension Dep -FIT</t>
  </si>
  <si>
    <t xml:space="preserve">     -  Advances for Construction - Tax Hydrants - FIT</t>
  </si>
  <si>
    <t xml:space="preserve">     -  Advances for Construction - Reclassed to Current</t>
  </si>
  <si>
    <t>Reallocation</t>
  </si>
  <si>
    <t>Step 1</t>
  </si>
  <si>
    <t>Step 2</t>
  </si>
  <si>
    <t>Step 3</t>
  </si>
  <si>
    <t>Step 4</t>
  </si>
  <si>
    <t>Rate Step</t>
  </si>
  <si>
    <t>QC - Clinton</t>
  </si>
  <si>
    <t>Blue Grass</t>
  </si>
  <si>
    <t>Acquisitions</t>
  </si>
  <si>
    <t>Proposed Fixed Revenue</t>
  </si>
  <si>
    <t>Proposed Volumetric Revenue</t>
  </si>
  <si>
    <t>Set flat rate ratio manually</t>
  </si>
  <si>
    <t>base volumetric rate</t>
  </si>
  <si>
    <t>Proposed Rate</t>
  </si>
  <si>
    <t>TOTAL IA RATE BASE</t>
  </si>
  <si>
    <t xml:space="preserve">   Post In-Service AFUDC</t>
  </si>
  <si>
    <t>Public Authorities</t>
  </si>
  <si>
    <t>TD Mains Total (331)</t>
  </si>
  <si>
    <t>Services (333)</t>
  </si>
  <si>
    <t>Hydrants (335)</t>
  </si>
  <si>
    <t>Net Plant @ June 2022</t>
  </si>
  <si>
    <t>Accounts 331, 333, 335, 310, 311</t>
  </si>
  <si>
    <t>QIP Class Allocators</t>
  </si>
  <si>
    <t>Power Generator (310)</t>
  </si>
  <si>
    <t>Pumping Equipment (311)</t>
  </si>
  <si>
    <t>Private/Public Fire - Meter Equivalents</t>
  </si>
  <si>
    <t>Private/Public Fire - Volumetric Factor</t>
  </si>
  <si>
    <t>TOTAL FOR ALLOCATOR</t>
  </si>
  <si>
    <t>ALLOCATORS</t>
  </si>
  <si>
    <t>50% of 25% Private Fire:</t>
  </si>
  <si>
    <t>50% of Public Fire:</t>
  </si>
  <si>
    <t>Allocated to Class By Meter Equivalents</t>
  </si>
  <si>
    <t>Allocated to Class By Volumetric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</si>
</sst>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00"/>
    <numFmt numFmtId="167" formatCode="_(* #,##0.00000_);_(* \(#,##0.00000\);_(* &quot;-&quot;??_);_(@_)"/>
    <numFmt numFmtId="168" formatCode="_(* #,##0_);_(* \(#,##0\);_(* &quot;-&quot;??_);_(@_)"/>
    <numFmt numFmtId="169" formatCode="_(* #,##0.0000_);_(* \(#,##0.0000\);_(* &quot;-&quot;??_);_(@_)"/>
    <numFmt numFmtId="170" formatCode="0.0"/>
    <numFmt numFmtId="171" formatCode="###,000"/>
    <numFmt numFmtId="172" formatCode="#,##0.0000000000_);\(#,##0.0000000000\)"/>
    <numFmt numFmtId="173" formatCode="#,##0;[Red]\-#,##0"/>
    <numFmt numFmtId="174" formatCode="#,##0.000;[Red]\-#,##0.000"/>
    <numFmt numFmtId="175" formatCode="0.000"/>
    <numFmt numFmtId="176" formatCode="_(&quot;$&quot;* #,##0.00000_);_(&quot;$&quot;* \(#,##0.000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color rgb="FF1F497D"/>
      <name val="Verdana"/>
      <family val="2"/>
    </font>
    <font>
      <sz val="11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i/>
      <sz val="11"/>
      <color rgb="FF0000FF"/>
      <name val="Calibri"/>
      <family val="2"/>
      <scheme val="minor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1F5F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3" fillId="5" borderId="11" applyNumberFormat="0" applyAlignment="0" applyProtection="0">
      <alignment horizontal="left" vertical="center" indent="1"/>
    </xf>
    <xf numFmtId="0" fontId="5" fillId="0" borderId="0"/>
    <xf numFmtId="0" fontId="31" fillId="8" borderId="12" applyNumberFormat="0" applyAlignment="0" applyProtection="0">
      <alignment horizontal="left" vertical="center" indent="1"/>
    </xf>
    <xf numFmtId="0" fontId="31" fillId="9" borderId="11" applyNumberFormat="0" applyAlignment="0" applyProtection="0">
      <alignment horizontal="left" vertical="center" indent="1"/>
    </xf>
    <xf numFmtId="173" fontId="33" fillId="0" borderId="0"/>
  </cellStyleXfs>
  <cellXfs count="34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0" fontId="3" fillId="0" borderId="0" xfId="0" applyFont="1"/>
    <xf numFmtId="0" fontId="6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3" fillId="2" borderId="2" xfId="2" applyFont="1" applyFill="1" applyBorder="1" applyAlignment="1">
      <alignment vertical="top"/>
    </xf>
    <xf numFmtId="0" fontId="3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3" fontId="0" fillId="0" borderId="0" xfId="3" applyFont="1" applyAlignment="1">
      <alignment horizontal="left"/>
    </xf>
    <xf numFmtId="2" fontId="0" fillId="0" borderId="0" xfId="3" applyNumberFormat="1" applyFont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 applyAlignment="1">
      <alignment horizontal="left"/>
    </xf>
    <xf numFmtId="0" fontId="6" fillId="0" borderId="0" xfId="0" applyFont="1" applyFill="1"/>
    <xf numFmtId="0" fontId="2" fillId="0" borderId="6" xfId="0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164" fontId="0" fillId="0" borderId="1" xfId="1" applyNumberFormat="1" applyFont="1" applyBorder="1"/>
    <xf numFmtId="0" fontId="2" fillId="0" borderId="0" xfId="0" applyFont="1" applyBorder="1" applyAlignment="1">
      <alignment horizontal="left"/>
    </xf>
    <xf numFmtId="37" fontId="2" fillId="0" borderId="0" xfId="0" applyNumberFormat="1" applyFont="1" applyBorder="1"/>
    <xf numFmtId="0" fontId="7" fillId="0" borderId="5" xfId="0" applyFont="1" applyBorder="1" applyAlignment="1">
      <alignment horizontal="left"/>
    </xf>
    <xf numFmtId="0" fontId="7" fillId="0" borderId="5" xfId="0" applyFont="1" applyBorder="1"/>
    <xf numFmtId="37" fontId="7" fillId="0" borderId="5" xfId="0" applyNumberFormat="1" applyFont="1" applyBorder="1"/>
    <xf numFmtId="22" fontId="10" fillId="0" borderId="4" xfId="0" quotePrefix="1" applyNumberFormat="1" applyFont="1" applyFill="1" applyBorder="1" applyAlignment="1">
      <alignment horizontal="center"/>
    </xf>
    <xf numFmtId="37" fontId="0" fillId="0" borderId="0" xfId="0" applyNumberFormat="1" applyFont="1"/>
    <xf numFmtId="37" fontId="2" fillId="0" borderId="0" xfId="3" applyNumberFormat="1" applyFont="1" applyBorder="1"/>
    <xf numFmtId="37" fontId="7" fillId="0" borderId="5" xfId="0" applyNumberFormat="1" applyFont="1" applyBorder="1" applyAlignment="1">
      <alignment horizontal="center" wrapText="1"/>
    </xf>
    <xf numFmtId="43" fontId="7" fillId="0" borderId="5" xfId="3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center"/>
    </xf>
    <xf numFmtId="165" fontId="0" fillId="0" borderId="0" xfId="4" applyNumberFormat="1" applyFont="1"/>
    <xf numFmtId="10" fontId="0" fillId="0" borderId="0" xfId="4" applyNumberFormat="1" applyFont="1"/>
    <xf numFmtId="37" fontId="0" fillId="0" borderId="7" xfId="0" applyNumberFormat="1" applyFont="1" applyBorder="1"/>
    <xf numFmtId="37" fontId="0" fillId="0" borderId="6" xfId="0" applyNumberFormat="1" applyFont="1" applyBorder="1"/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37" fontId="7" fillId="0" borderId="5" xfId="0" applyNumberFormat="1" applyFont="1" applyBorder="1" applyAlignment="1">
      <alignment wrapText="1"/>
    </xf>
    <xf numFmtId="37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/>
    <xf numFmtId="37" fontId="2" fillId="0" borderId="6" xfId="0" applyNumberFormat="1" applyFont="1" applyBorder="1"/>
    <xf numFmtId="37" fontId="6" fillId="0" borderId="6" xfId="0" applyNumberFormat="1" applyFont="1" applyBorder="1"/>
    <xf numFmtId="37" fontId="2" fillId="0" borderId="7" xfId="0" applyNumberFormat="1" applyFont="1" applyBorder="1"/>
    <xf numFmtId="37" fontId="0" fillId="0" borderId="0" xfId="0" applyNumberFormat="1" applyFont="1" applyBorder="1"/>
    <xf numFmtId="0" fontId="11" fillId="0" borderId="0" xfId="0" applyFont="1"/>
    <xf numFmtId="37" fontId="7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/>
    <xf numFmtId="164" fontId="0" fillId="0" borderId="0" xfId="0" applyNumberFormat="1" applyFont="1" applyFill="1"/>
    <xf numFmtId="164" fontId="0" fillId="0" borderId="0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0" fillId="4" borderId="1" xfId="0" applyFont="1" applyFill="1" applyBorder="1"/>
    <xf numFmtId="37" fontId="0" fillId="0" borderId="0" xfId="0" applyNumberFormat="1" applyFont="1" applyFill="1"/>
    <xf numFmtId="0" fontId="13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14" fillId="0" borderId="0" xfId="0" applyFont="1" applyBorder="1"/>
    <xf numFmtId="0" fontId="3" fillId="0" borderId="0" xfId="2" applyFont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2" fillId="0" borderId="0" xfId="1" applyNumberFormat="1" applyFont="1"/>
    <xf numFmtId="0" fontId="14" fillId="0" borderId="1" xfId="0" applyFont="1" applyBorder="1"/>
    <xf numFmtId="0" fontId="14" fillId="0" borderId="0" xfId="0" applyFont="1"/>
    <xf numFmtId="0" fontId="3" fillId="0" borderId="1" xfId="0" applyFont="1" applyBorder="1"/>
    <xf numFmtId="0" fontId="16" fillId="0" borderId="1" xfId="0" applyFont="1" applyBorder="1"/>
    <xf numFmtId="164" fontId="2" fillId="0" borderId="0" xfId="0" applyNumberFormat="1" applyFont="1"/>
    <xf numFmtId="0" fontId="4" fillId="0" borderId="0" xfId="2" applyFont="1"/>
    <xf numFmtId="0" fontId="3" fillId="0" borderId="1" xfId="2" applyFont="1" applyBorder="1"/>
    <xf numFmtId="164" fontId="6" fillId="0" borderId="0" xfId="0" applyNumberFormat="1" applyFont="1"/>
    <xf numFmtId="0" fontId="4" fillId="0" borderId="1" xfId="2" applyFont="1" applyBorder="1"/>
    <xf numFmtId="164" fontId="3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left"/>
    </xf>
    <xf numFmtId="166" fontId="17" fillId="0" borderId="0" xfId="0" applyNumberFormat="1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quotePrefix="1" applyBorder="1"/>
    <xf numFmtId="164" fontId="3" fillId="0" borderId="0" xfId="1" applyNumberFormat="1" applyFont="1"/>
    <xf numFmtId="0" fontId="4" fillId="0" borderId="1" xfId="0" applyFont="1" applyBorder="1"/>
    <xf numFmtId="0" fontId="0" fillId="0" borderId="1" xfId="0" quotePrefix="1" applyBorder="1"/>
    <xf numFmtId="0" fontId="6" fillId="0" borderId="1" xfId="0" applyFont="1" applyBorder="1"/>
    <xf numFmtId="0" fontId="3" fillId="0" borderId="0" xfId="0" quotePrefix="1" applyFont="1" applyBorder="1"/>
    <xf numFmtId="164" fontId="3" fillId="0" borderId="0" xfId="1" applyNumberFormat="1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7" fontId="4" fillId="0" borderId="0" xfId="3" applyNumberFormat="1" applyFont="1"/>
    <xf numFmtId="167" fontId="4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1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7" fontId="0" fillId="0" borderId="0" xfId="3" applyNumberFormat="1" applyFont="1"/>
    <xf numFmtId="167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3" fillId="0" borderId="1" xfId="0" applyFont="1" applyFill="1" applyBorder="1"/>
    <xf numFmtId="0" fontId="6" fillId="4" borderId="7" xfId="0" applyFont="1" applyFill="1" applyBorder="1"/>
    <xf numFmtId="0" fontId="2" fillId="4" borderId="6" xfId="0" applyFont="1" applyFill="1" applyBorder="1"/>
    <xf numFmtId="0" fontId="0" fillId="0" borderId="8" xfId="0" applyBorder="1"/>
    <xf numFmtId="0" fontId="18" fillId="0" borderId="0" xfId="0" applyFont="1"/>
    <xf numFmtId="168" fontId="0" fillId="0" borderId="0" xfId="3" applyNumberFormat="1" applyFont="1"/>
    <xf numFmtId="168" fontId="0" fillId="0" borderId="0" xfId="0" applyNumberFormat="1"/>
    <xf numFmtId="0" fontId="12" fillId="0" borderId="9" xfId="0" applyFont="1" applyBorder="1"/>
    <xf numFmtId="169" fontId="12" fillId="0" borderId="7" xfId="3" applyNumberFormat="1" applyFont="1" applyBorder="1"/>
    <xf numFmtId="169" fontId="12" fillId="0" borderId="10" xfId="0" applyNumberFormat="1" applyFont="1" applyBorder="1"/>
    <xf numFmtId="169" fontId="0" fillId="0" borderId="0" xfId="0" applyNumberFormat="1"/>
    <xf numFmtId="168" fontId="20" fillId="0" borderId="0" xfId="3" applyNumberFormat="1" applyFont="1"/>
    <xf numFmtId="0" fontId="20" fillId="0" borderId="0" xfId="0" applyFont="1"/>
    <xf numFmtId="169" fontId="0" fillId="0" borderId="0" xfId="3" applyNumberFormat="1" applyFont="1"/>
    <xf numFmtId="169" fontId="12" fillId="0" borderId="7" xfId="0" applyNumberFormat="1" applyFont="1" applyBorder="1"/>
    <xf numFmtId="168" fontId="0" fillId="0" borderId="0" xfId="0" quotePrefix="1" applyNumberFormat="1" applyAlignment="1">
      <alignment horizontal="right"/>
    </xf>
    <xf numFmtId="43" fontId="0" fillId="0" borderId="0" xfId="0" applyNumberFormat="1"/>
    <xf numFmtId="168" fontId="0" fillId="0" borderId="0" xfId="0" applyNumberFormat="1" applyAlignment="1">
      <alignment horizontal="right"/>
    </xf>
    <xf numFmtId="167" fontId="12" fillId="0" borderId="7" xfId="3" applyNumberFormat="1" applyFont="1" applyBorder="1"/>
    <xf numFmtId="167" fontId="12" fillId="0" borderId="10" xfId="0" applyNumberFormat="1" applyFont="1" applyBorder="1"/>
    <xf numFmtId="170" fontId="0" fillId="0" borderId="0" xfId="0" applyNumberFormat="1"/>
    <xf numFmtId="168" fontId="4" fillId="0" borderId="0" xfId="3" applyNumberFormat="1" applyFont="1"/>
    <xf numFmtId="168" fontId="0" fillId="0" borderId="1" xfId="3" applyNumberFormat="1" applyFont="1" applyBorder="1"/>
    <xf numFmtId="168" fontId="0" fillId="0" borderId="1" xfId="0" applyNumberFormat="1" applyBorder="1"/>
    <xf numFmtId="170" fontId="0" fillId="0" borderId="1" xfId="0" applyNumberFormat="1" applyBorder="1"/>
    <xf numFmtId="43" fontId="0" fillId="0" borderId="0" xfId="3" applyFont="1"/>
    <xf numFmtId="43" fontId="17" fillId="0" borderId="0" xfId="3" applyNumberFormat="1" applyFont="1"/>
    <xf numFmtId="0" fontId="0" fillId="0" borderId="0" xfId="0" applyBorder="1" applyAlignment="1">
      <alignment horizontal="right"/>
    </xf>
    <xf numFmtId="170" fontId="4" fillId="0" borderId="0" xfId="0" applyNumberFormat="1" applyFont="1"/>
    <xf numFmtId="168" fontId="17" fillId="0" borderId="0" xfId="3" applyNumberFormat="1" applyFont="1"/>
    <xf numFmtId="169" fontId="4" fillId="0" borderId="0" xfId="0" applyNumberFormat="1" applyFont="1"/>
    <xf numFmtId="169" fontId="0" fillId="0" borderId="0" xfId="3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164" fontId="4" fillId="0" borderId="0" xfId="1" applyNumberFormat="1" applyFont="1"/>
    <xf numFmtId="164" fontId="0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0" xfId="0" applyFont="1"/>
    <xf numFmtId="168" fontId="22" fillId="0" borderId="0" xfId="3" applyNumberFormat="1" applyFont="1"/>
    <xf numFmtId="5" fontId="0" fillId="0" borderId="0" xfId="0" applyNumberFormat="1" applyFont="1"/>
    <xf numFmtId="0" fontId="0" fillId="6" borderId="0" xfId="0" applyFill="1"/>
    <xf numFmtId="0" fontId="6" fillId="0" borderId="0" xfId="0" applyFont="1" applyFill="1" applyAlignment="1">
      <alignment horizontal="right"/>
    </xf>
    <xf numFmtId="43" fontId="0" fillId="0" borderId="0" xfId="3" applyFont="1" applyFill="1"/>
    <xf numFmtId="168" fontId="0" fillId="0" borderId="0" xfId="3" applyNumberFormat="1" applyFont="1" applyFill="1"/>
    <xf numFmtId="168" fontId="0" fillId="0" borderId="0" xfId="0" applyNumberFormat="1" applyFont="1" applyFill="1"/>
    <xf numFmtId="168" fontId="0" fillId="0" borderId="1" xfId="3" applyNumberFormat="1" applyFont="1" applyFill="1" applyBorder="1"/>
    <xf numFmtId="0" fontId="18" fillId="0" borderId="0" xfId="0" applyFont="1" applyFill="1"/>
    <xf numFmtId="0" fontId="12" fillId="0" borderId="0" xfId="0" applyFont="1" applyFill="1"/>
    <xf numFmtId="37" fontId="2" fillId="0" borderId="0" xfId="0" applyNumberFormat="1" applyFont="1" applyFill="1" applyBorder="1"/>
    <xf numFmtId="37" fontId="7" fillId="0" borderId="5" xfId="0" applyNumberFormat="1" applyFont="1" applyFill="1" applyBorder="1" applyAlignment="1">
      <alignment horizontal="center" wrapText="1"/>
    </xf>
    <xf numFmtId="37" fontId="0" fillId="0" borderId="7" xfId="0" applyNumberFormat="1" applyFont="1" applyFill="1" applyBorder="1"/>
    <xf numFmtId="37" fontId="0" fillId="0" borderId="0" xfId="0" applyNumberFormat="1" applyFont="1" applyFill="1" applyBorder="1"/>
    <xf numFmtId="37" fontId="0" fillId="0" borderId="6" xfId="0" applyNumberFormat="1" applyFont="1" applyFill="1" applyBorder="1"/>
    <xf numFmtId="44" fontId="0" fillId="0" borderId="0" xfId="0" applyNumberFormat="1"/>
    <xf numFmtId="164" fontId="2" fillId="0" borderId="1" xfId="0" applyNumberFormat="1" applyFont="1" applyBorder="1"/>
    <xf numFmtId="0" fontId="0" fillId="7" borderId="0" xfId="0" applyFill="1"/>
    <xf numFmtId="0" fontId="18" fillId="4" borderId="0" xfId="0" applyFont="1" applyFill="1"/>
    <xf numFmtId="0" fontId="11" fillId="0" borderId="8" xfId="0" applyFont="1" applyBorder="1"/>
    <xf numFmtId="0" fontId="11" fillId="0" borderId="1" xfId="0" applyFont="1" applyBorder="1"/>
    <xf numFmtId="0" fontId="2" fillId="6" borderId="0" xfId="0" applyFont="1" applyFill="1"/>
    <xf numFmtId="164" fontId="2" fillId="6" borderId="0" xfId="0" applyNumberFormat="1" applyFont="1" applyFill="1"/>
    <xf numFmtId="0" fontId="11" fillId="6" borderId="0" xfId="0" applyFont="1" applyFill="1"/>
    <xf numFmtId="0" fontId="28" fillId="6" borderId="0" xfId="0" applyFont="1" applyFill="1" applyAlignment="1">
      <alignment horizontal="right"/>
    </xf>
    <xf numFmtId="10" fontId="29" fillId="0" borderId="0" xfId="4" applyNumberFormat="1" applyFont="1"/>
    <xf numFmtId="42" fontId="0" fillId="0" borderId="0" xfId="0" applyNumberFormat="1"/>
    <xf numFmtId="42" fontId="2" fillId="0" borderId="0" xfId="0" applyNumberFormat="1" applyFont="1"/>
    <xf numFmtId="164" fontId="0" fillId="0" borderId="0" xfId="1" applyNumberFormat="1" applyFont="1" applyBorder="1"/>
    <xf numFmtId="168" fontId="2" fillId="0" borderId="7" xfId="0" applyNumberFormat="1" applyFont="1" applyBorder="1"/>
    <xf numFmtId="164" fontId="2" fillId="0" borderId="7" xfId="1" applyNumberFormat="1" applyFont="1" applyBorder="1"/>
    <xf numFmtId="10" fontId="0" fillId="0" borderId="1" xfId="4" applyNumberFormat="1" applyFont="1" applyBorder="1"/>
    <xf numFmtId="0" fontId="2" fillId="0" borderId="1" xfId="0" applyFont="1" applyBorder="1" applyAlignment="1">
      <alignment horizontal="center"/>
    </xf>
    <xf numFmtId="10" fontId="0" fillId="0" borderId="0" xfId="4" applyNumberFormat="1" applyFont="1" applyFill="1"/>
    <xf numFmtId="164" fontId="0" fillId="0" borderId="0" xfId="1" applyNumberFormat="1" applyFont="1" applyFill="1"/>
    <xf numFmtId="43" fontId="0" fillId="0" borderId="0" xfId="0" applyNumberFormat="1" applyFont="1"/>
    <xf numFmtId="172" fontId="0" fillId="0" borderId="0" xfId="0" applyNumberFormat="1" applyFont="1"/>
    <xf numFmtId="0" fontId="0" fillId="0" borderId="0" xfId="0" applyFont="1" applyBorder="1" applyAlignment="1">
      <alignment horizontal="center"/>
    </xf>
    <xf numFmtId="164" fontId="17" fillId="0" borderId="0" xfId="0" applyNumberFormat="1" applyFont="1" applyFill="1"/>
    <xf numFmtId="0" fontId="2" fillId="0" borderId="0" xfId="0" applyFont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Fill="1"/>
    <xf numFmtId="0" fontId="30" fillId="0" borderId="0" xfId="0" applyFont="1" applyFill="1"/>
    <xf numFmtId="10" fontId="30" fillId="0" borderId="0" xfId="4" applyNumberFormat="1" applyFont="1" applyFill="1"/>
    <xf numFmtId="164" fontId="30" fillId="0" borderId="0" xfId="1" applyNumberFormat="1" applyFont="1" applyFill="1"/>
    <xf numFmtId="164" fontId="30" fillId="0" borderId="0" xfId="0" applyNumberFormat="1" applyFont="1" applyFill="1"/>
    <xf numFmtId="0" fontId="28" fillId="0" borderId="0" xfId="0" applyFont="1" applyFill="1"/>
    <xf numFmtId="164" fontId="0" fillId="0" borderId="0" xfId="0" applyNumberFormat="1" applyFill="1"/>
    <xf numFmtId="10" fontId="0" fillId="0" borderId="0" xfId="0" applyNumberFormat="1" applyFill="1"/>
    <xf numFmtId="0" fontId="1" fillId="3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2" fillId="4" borderId="0" xfId="2" applyFont="1" applyFill="1" applyAlignment="1">
      <alignment vertical="top"/>
    </xf>
    <xf numFmtId="0" fontId="3" fillId="3" borderId="2" xfId="2" applyFont="1" applyFill="1" applyBorder="1" applyAlignment="1">
      <alignment vertical="top"/>
    </xf>
    <xf numFmtId="0" fontId="3" fillId="3" borderId="0" xfId="2" applyFont="1" applyFill="1" applyAlignment="1">
      <alignment vertical="top"/>
    </xf>
    <xf numFmtId="0" fontId="3" fillId="4" borderId="0" xfId="2" applyFont="1" applyFill="1" applyAlignment="1">
      <alignment vertical="top"/>
    </xf>
    <xf numFmtId="39" fontId="0" fillId="0" borderId="0" xfId="0" applyNumberFormat="1" applyFont="1"/>
    <xf numFmtId="0" fontId="32" fillId="0" borderId="0" xfId="0" applyFont="1"/>
    <xf numFmtId="39" fontId="0" fillId="0" borderId="0" xfId="0" applyNumberFormat="1" applyFont="1" applyBorder="1"/>
    <xf numFmtId="37" fontId="24" fillId="0" borderId="0" xfId="0" applyNumberFormat="1" applyFont="1" applyBorder="1"/>
    <xf numFmtId="37" fontId="25" fillId="0" borderId="0" xfId="0" applyNumberFormat="1" applyFont="1" applyBorder="1"/>
    <xf numFmtId="0" fontId="1" fillId="0" borderId="0" xfId="0" applyFont="1" applyBorder="1" applyAlignment="1">
      <alignment vertical="top"/>
    </xf>
    <xf numFmtId="7" fontId="1" fillId="0" borderId="0" xfId="0" applyNumberFormat="1" applyFont="1" applyBorder="1"/>
    <xf numFmtId="39" fontId="1" fillId="0" borderId="0" xfId="0" applyNumberFormat="1" applyFont="1" applyBorder="1"/>
    <xf numFmtId="37" fontId="1" fillId="0" borderId="0" xfId="0" applyNumberFormat="1" applyFont="1" applyBorder="1"/>
    <xf numFmtId="0" fontId="1" fillId="0" borderId="0" xfId="0" applyFont="1" applyBorder="1" applyAlignment="1">
      <alignment horizontal="center" vertical="top"/>
    </xf>
    <xf numFmtId="0" fontId="28" fillId="10" borderId="1" xfId="0" applyFont="1" applyFill="1" applyBorder="1" applyAlignment="1">
      <alignment horizontal="center" wrapText="1"/>
    </xf>
    <xf numFmtId="0" fontId="28" fillId="10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center"/>
    </xf>
    <xf numFmtId="0" fontId="32" fillId="0" borderId="0" xfId="0" applyFont="1" applyFill="1"/>
    <xf numFmtId="38" fontId="3" fillId="0" borderId="0" xfId="0" applyNumberFormat="1" applyFont="1"/>
    <xf numFmtId="0" fontId="29" fillId="0" borderId="0" xfId="0" applyFont="1" applyFill="1"/>
    <xf numFmtId="2" fontId="0" fillId="0" borderId="0" xfId="3" applyNumberFormat="1" applyFont="1" applyAlignment="1">
      <alignment horizontal="center"/>
    </xf>
    <xf numFmtId="2" fontId="3" fillId="0" borderId="0" xfId="3" applyNumberFormat="1" applyFont="1" applyFill="1" applyAlignment="1">
      <alignment horizontal="center"/>
    </xf>
    <xf numFmtId="2" fontId="3" fillId="0" borderId="0" xfId="3" applyNumberFormat="1" applyFont="1" applyAlignment="1">
      <alignment horizontal="center"/>
    </xf>
    <xf numFmtId="43" fontId="0" fillId="0" borderId="0" xfId="3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68" fontId="0" fillId="0" borderId="0" xfId="3" applyNumberFormat="1" applyFont="1" applyBorder="1"/>
    <xf numFmtId="168" fontId="2" fillId="0" borderId="7" xfId="3" applyNumberFormat="1" applyFont="1" applyBorder="1"/>
    <xf numFmtId="1" fontId="0" fillId="0" borderId="0" xfId="0" applyNumberFormat="1" applyFont="1"/>
    <xf numFmtId="5" fontId="2" fillId="0" borderId="0" xfId="0" applyNumberFormat="1" applyFont="1" applyAlignment="1">
      <alignment horizontal="center"/>
    </xf>
    <xf numFmtId="168" fontId="0" fillId="0" borderId="0" xfId="3" applyNumberFormat="1" applyFont="1" applyFill="1" applyBorder="1"/>
    <xf numFmtId="0" fontId="29" fillId="0" borderId="0" xfId="0" applyFont="1" applyAlignment="1">
      <alignment horizontal="left"/>
    </xf>
    <xf numFmtId="38" fontId="29" fillId="0" borderId="0" xfId="0" applyNumberFormat="1" applyFont="1"/>
    <xf numFmtId="39" fontId="0" fillId="0" borderId="0" xfId="0" applyNumberFormat="1" applyFont="1" applyFill="1"/>
    <xf numFmtId="164" fontId="0" fillId="0" borderId="0" xfId="0" applyNumberFormat="1" applyFont="1" applyAlignment="1">
      <alignment horizontal="center"/>
    </xf>
    <xf numFmtId="10" fontId="0" fillId="0" borderId="0" xfId="0" applyNumberFormat="1" applyFont="1"/>
    <xf numFmtId="10" fontId="2" fillId="0" borderId="0" xfId="4" applyNumberFormat="1" applyFont="1"/>
    <xf numFmtId="169" fontId="11" fillId="0" borderId="0" xfId="3" applyNumberFormat="1" applyFont="1"/>
    <xf numFmtId="43" fontId="11" fillId="0" borderId="0" xfId="3" applyNumberFormat="1" applyFont="1"/>
    <xf numFmtId="0" fontId="11" fillId="0" borderId="0" xfId="0" quotePrefix="1" applyFont="1" applyAlignment="1">
      <alignment horizontal="right"/>
    </xf>
    <xf numFmtId="43" fontId="11" fillId="0" borderId="0" xfId="3" applyFont="1"/>
    <xf numFmtId="168" fontId="4" fillId="0" borderId="0" xfId="3" applyNumberFormat="1" applyFont="1" applyFill="1"/>
    <xf numFmtId="0" fontId="2" fillId="0" borderId="1" xfId="0" applyFont="1" applyBorder="1"/>
    <xf numFmtId="0" fontId="3" fillId="0" borderId="0" xfId="0" applyFont="1" applyAlignment="1">
      <alignment vertical="top"/>
    </xf>
    <xf numFmtId="5" fontId="0" fillId="0" borderId="0" xfId="0" applyNumberFormat="1"/>
    <xf numFmtId="5" fontId="0" fillId="0" borderId="1" xfId="0" applyNumberFormat="1" applyBorder="1"/>
    <xf numFmtId="41" fontId="0" fillId="0" borderId="0" xfId="0" applyNumberFormat="1"/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37" fontId="0" fillId="0" borderId="1" xfId="0" applyNumberFormat="1" applyFont="1" applyBorder="1"/>
    <xf numFmtId="167" fontId="19" fillId="11" borderId="0" xfId="3" applyNumberFormat="1" applyFont="1" applyFill="1" applyAlignment="1">
      <alignment horizontal="right"/>
    </xf>
    <xf numFmtId="173" fontId="3" fillId="0" borderId="0" xfId="9" applyFont="1"/>
    <xf numFmtId="0" fontId="3" fillId="0" borderId="0" xfId="2" applyFont="1" applyProtection="1">
      <protection locked="0"/>
    </xf>
    <xf numFmtId="173" fontId="11" fillId="0" borderId="0" xfId="9" applyFont="1"/>
    <xf numFmtId="173" fontId="3" fillId="0" borderId="0" xfId="9" applyFont="1" applyAlignment="1">
      <alignment horizontal="center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center"/>
      <protection locked="0"/>
    </xf>
    <xf numFmtId="173" fontId="3" fillId="0" borderId="0" xfId="9" quotePrefix="1" applyFont="1" applyAlignment="1">
      <alignment horizontal="center"/>
    </xf>
    <xf numFmtId="174" fontId="3" fillId="0" borderId="0" xfId="9" quotePrefix="1" applyNumberFormat="1" applyFont="1" applyAlignment="1">
      <alignment horizontal="right"/>
    </xf>
    <xf numFmtId="174" fontId="3" fillId="0" borderId="0" xfId="2" applyNumberFormat="1" applyFont="1" applyAlignment="1" applyProtection="1">
      <alignment horizontal="center"/>
      <protection locked="0"/>
    </xf>
    <xf numFmtId="174" fontId="3" fillId="0" borderId="0" xfId="2" quotePrefix="1" applyNumberFormat="1" applyFont="1" applyAlignment="1" applyProtection="1">
      <alignment horizontal="right"/>
      <protection locked="0"/>
    </xf>
    <xf numFmtId="0" fontId="3" fillId="0" borderId="0" xfId="2" quotePrefix="1" applyFont="1" applyAlignment="1" applyProtection="1">
      <alignment horizontal="right"/>
      <protection locked="0"/>
    </xf>
    <xf numFmtId="175" fontId="3" fillId="0" borderId="0" xfId="2" applyNumberFormat="1" applyFont="1" applyAlignment="1" applyProtection="1">
      <alignment horizontal="right"/>
      <protection locked="0"/>
    </xf>
    <xf numFmtId="0" fontId="3" fillId="0" borderId="0" xfId="2" quotePrefix="1" applyFont="1" applyAlignment="1" applyProtection="1">
      <alignment horizontal="left"/>
      <protection locked="0"/>
    </xf>
    <xf numFmtId="174" fontId="3" fillId="0" borderId="0" xfId="2" applyNumberFormat="1" applyFont="1" applyProtection="1">
      <protection locked="0"/>
    </xf>
    <xf numFmtId="175" fontId="3" fillId="0" borderId="0" xfId="2" quotePrefix="1" applyNumberFormat="1" applyFont="1" applyAlignment="1" applyProtection="1">
      <alignment horizontal="right"/>
      <protection locked="0"/>
    </xf>
    <xf numFmtId="0" fontId="29" fillId="0" borderId="0" xfId="2" applyFont="1" applyAlignment="1" applyProtection="1">
      <alignment horizontal="center"/>
      <protection locked="0"/>
    </xf>
    <xf numFmtId="0" fontId="29" fillId="0" borderId="0" xfId="2" applyFont="1" applyProtection="1">
      <protection locked="0"/>
    </xf>
    <xf numFmtId="174" fontId="29" fillId="0" borderId="0" xfId="2" applyNumberFormat="1" applyFont="1" applyProtection="1">
      <protection locked="0"/>
    </xf>
    <xf numFmtId="174" fontId="29" fillId="0" borderId="0" xfId="2" quotePrefix="1" applyNumberFormat="1" applyFont="1" applyAlignment="1" applyProtection="1">
      <alignment horizontal="right"/>
      <protection locked="0"/>
    </xf>
    <xf numFmtId="0" fontId="29" fillId="0" borderId="0" xfId="2" quotePrefix="1" applyFont="1" applyAlignment="1" applyProtection="1">
      <alignment horizontal="right"/>
      <protection locked="0"/>
    </xf>
    <xf numFmtId="175" fontId="29" fillId="0" borderId="0" xfId="2" applyNumberFormat="1" applyFont="1" applyAlignment="1" applyProtection="1">
      <alignment horizontal="right"/>
      <protection locked="0"/>
    </xf>
    <xf numFmtId="2" fontId="3" fillId="0" borderId="0" xfId="2" applyNumberFormat="1" applyFont="1" applyProtection="1">
      <protection locked="0"/>
    </xf>
    <xf numFmtId="0" fontId="3" fillId="0" borderId="1" xfId="2" applyFont="1" applyBorder="1" applyProtection="1">
      <protection locked="0"/>
    </xf>
    <xf numFmtId="168" fontId="22" fillId="0" borderId="0" xfId="3" applyNumberFormat="1" applyFont="1" applyFill="1"/>
    <xf numFmtId="0" fontId="11" fillId="0" borderId="0" xfId="0" quotePrefix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5" fontId="0" fillId="0" borderId="0" xfId="1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5" fontId="7" fillId="0" borderId="6" xfId="0" applyNumberFormat="1" applyFont="1" applyBorder="1"/>
    <xf numFmtId="5" fontId="2" fillId="0" borderId="0" xfId="1" applyNumberFormat="1" applyFont="1" applyBorder="1"/>
    <xf numFmtId="5" fontId="2" fillId="0" borderId="0" xfId="0" applyNumberFormat="1" applyFont="1" applyBorder="1"/>
    <xf numFmtId="10" fontId="0" fillId="0" borderId="0" xfId="4" applyNumberFormat="1" applyFont="1" applyBorder="1"/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10" fontId="28" fillId="15" borderId="6" xfId="4" applyNumberFormat="1" applyFont="1" applyFill="1" applyBorder="1"/>
    <xf numFmtId="10" fontId="0" fillId="0" borderId="0" xfId="0" applyNumberFormat="1"/>
    <xf numFmtId="168" fontId="0" fillId="0" borderId="0" xfId="0" applyNumberFormat="1" applyFont="1"/>
    <xf numFmtId="176" fontId="0" fillId="0" borderId="0" xfId="0" applyNumberFormat="1"/>
    <xf numFmtId="176" fontId="19" fillId="0" borderId="0" xfId="1" applyNumberFormat="1" applyFont="1"/>
    <xf numFmtId="176" fontId="19" fillId="0" borderId="1" xfId="1" applyNumberFormat="1" applyFont="1" applyBorder="1"/>
    <xf numFmtId="173" fontId="3" fillId="0" borderId="0" xfId="9" applyFont="1" applyAlignment="1">
      <alignment horizontal="center"/>
    </xf>
    <xf numFmtId="173" fontId="3" fillId="0" borderId="1" xfId="9" applyFont="1" applyBorder="1" applyAlignment="1">
      <alignment horizontal="center"/>
    </xf>
    <xf numFmtId="164" fontId="15" fillId="0" borderId="2" xfId="1" applyNumberFormat="1" applyFont="1" applyFill="1" applyBorder="1"/>
    <xf numFmtId="164" fontId="2" fillId="0" borderId="0" xfId="0" applyNumberFormat="1" applyFont="1" applyFill="1"/>
    <xf numFmtId="164" fontId="0" fillId="0" borderId="1" xfId="0" applyNumberFormat="1" applyFill="1" applyBorder="1"/>
    <xf numFmtId="165" fontId="0" fillId="0" borderId="0" xfId="4" applyNumberFormat="1" applyFont="1" applyFill="1"/>
    <xf numFmtId="0" fontId="0" fillId="0" borderId="1" xfId="0" applyFill="1" applyBorder="1" applyAlignment="1">
      <alignment horizontal="center"/>
    </xf>
    <xf numFmtId="164" fontId="19" fillId="0" borderId="0" xfId="1" applyNumberFormat="1" applyFont="1" applyFill="1"/>
    <xf numFmtId="168" fontId="19" fillId="0" borderId="0" xfId="3" applyNumberFormat="1" applyFont="1" applyFill="1"/>
    <xf numFmtId="164" fontId="2" fillId="0" borderId="0" xfId="1" applyNumberFormat="1" applyFont="1" applyFill="1"/>
    <xf numFmtId="164" fontId="7" fillId="0" borderId="0" xfId="0" applyNumberFormat="1" applyFont="1" applyFill="1"/>
    <xf numFmtId="164" fontId="6" fillId="0" borderId="0" xfId="0" applyNumberFormat="1" applyFont="1" applyFill="1"/>
    <xf numFmtId="164" fontId="3" fillId="0" borderId="0" xfId="1" applyNumberFormat="1" applyFont="1" applyFill="1"/>
    <xf numFmtId="164" fontId="3" fillId="0" borderId="2" xfId="1" applyNumberFormat="1" applyFont="1" applyFill="1" applyBorder="1"/>
    <xf numFmtId="37" fontId="0" fillId="0" borderId="0" xfId="0" applyNumberFormat="1" applyFill="1"/>
    <xf numFmtId="164" fontId="3" fillId="0" borderId="0" xfId="0" applyNumberFormat="1" applyFont="1" applyFill="1"/>
    <xf numFmtId="164" fontId="7" fillId="0" borderId="2" xfId="1" applyNumberFormat="1" applyFont="1" applyFill="1" applyBorder="1"/>
    <xf numFmtId="0" fontId="0" fillId="0" borderId="9" xfId="0" applyFill="1" applyBorder="1" applyAlignment="1">
      <alignment horizontal="center"/>
    </xf>
    <xf numFmtId="164" fontId="2" fillId="0" borderId="1" xfId="0" applyNumberFormat="1" applyFont="1" applyFill="1" applyBorder="1"/>
    <xf numFmtId="164" fontId="7" fillId="0" borderId="1" xfId="0" applyNumberFormat="1" applyFont="1" applyFill="1" applyBorder="1"/>
    <xf numFmtId="164" fontId="28" fillId="0" borderId="0" xfId="0" applyNumberFormat="1" applyFont="1" applyFill="1"/>
    <xf numFmtId="164" fontId="15" fillId="0" borderId="0" xfId="1" applyNumberFormat="1" applyFont="1" applyFill="1"/>
    <xf numFmtId="0" fontId="15" fillId="0" borderId="0" xfId="0" applyFont="1" applyFill="1"/>
    <xf numFmtId="0" fontId="0" fillId="0" borderId="0" xfId="0" applyFill="1" applyAlignment="1">
      <alignment horizontal="center"/>
    </xf>
    <xf numFmtId="164" fontId="3" fillId="0" borderId="0" xfId="1" applyNumberFormat="1" applyFont="1" applyFill="1" applyBorder="1"/>
    <xf numFmtId="164" fontId="4" fillId="0" borderId="0" xfId="0" applyNumberFormat="1" applyFont="1" applyFill="1"/>
    <xf numFmtId="164" fontId="19" fillId="0" borderId="0" xfId="0" applyNumberFormat="1" applyFont="1" applyFill="1"/>
    <xf numFmtId="0" fontId="0" fillId="0" borderId="0" xfId="0" applyFont="1" applyFill="1" applyAlignment="1">
      <alignment horizontal="left" vertical="top" indent="1"/>
    </xf>
    <xf numFmtId="3" fontId="0" fillId="0" borderId="0" xfId="0" applyNumberFormat="1" applyFont="1" applyFill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indent="1"/>
    </xf>
    <xf numFmtId="3" fontId="1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0" fontId="3" fillId="0" borderId="0" xfId="2" applyFont="1" applyFill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</cellXfs>
  <cellStyles count="10">
    <cellStyle name="Comma" xfId="3" builtinId="3"/>
    <cellStyle name="Currency" xfId="1" builtinId="4"/>
    <cellStyle name="Normal" xfId="0" builtinId="0"/>
    <cellStyle name="Normal 13" xfId="2" xr:uid="{00000000-0005-0000-0000-000003000000}"/>
    <cellStyle name="Normal 3" xfId="6" xr:uid="{00000000-0005-0000-0000-000004000000}"/>
    <cellStyle name="Normal_Sch M" xfId="9" xr:uid="{E209E356-3532-4D9C-A85B-8780B12A895C}"/>
    <cellStyle name="Percent" xfId="4" builtinId="5"/>
    <cellStyle name="SAPHierarchyCell2" xfId="8" xr:uid="{37D4C18B-C176-4D42-AA93-5A464333B110}"/>
    <cellStyle name="SAPHierarchyCell4" xfId="7" xr:uid="{B35C6562-E12E-4D2C-A8E2-67F8F1466132}"/>
    <cellStyle name="SAPMemberCell" xfId="5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19" Target="../customXml/item1.xml" Type="http://schemas.openxmlformats.org/officeDocument/2006/relationships/customXml"/><Relationship Id="rId2" Target="worksheets/sheet2.xml" Type="http://schemas.openxmlformats.org/officeDocument/2006/relationships/worksheet"/><Relationship Id="rId20" Target="../customXml/item2.xml" Type="http://schemas.openxmlformats.org/officeDocument/2006/relationships/customXml"/><Relationship Id="rId21" Target="../customXml/item3.xml" Type="http://schemas.openxmlformats.org/officeDocument/2006/relationships/customXml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12.xml.rels><?xml version="1.0" encoding="UTF-8" standalone="no"?><Relationships xmlns="http://schemas.openxmlformats.org/package/2006/relationships"><Relationship Id="rId1" Target="../media/image12.png" Type="http://schemas.openxmlformats.org/officeDocument/2006/relationships/image"/></Relationships>
</file>

<file path=xl/drawings/_rels/drawing13.xml.rels><?xml version="1.0" encoding="UTF-8" standalone="no"?><Relationships xmlns="http://schemas.openxmlformats.org/package/2006/relationships"><Relationship Id="rId1" Target="../media/image13.png" Type="http://schemas.openxmlformats.org/officeDocument/2006/relationships/image"/></Relationships>
</file>

<file path=xl/drawings/_rels/drawing14.xml.rels><?xml version="1.0" encoding="UTF-8" standalone="no"?><Relationships xmlns="http://schemas.openxmlformats.org/package/2006/relationships"><Relationship Id="rId1" Target="../media/image14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1161631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1809525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713549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2780976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84672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190180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2847667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332940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151884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599184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8</xdr:col>
      <xdr:colOff>151363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113850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370715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228215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Relationship Id="rId3" Target="../drawings/drawing1.xml" Type="http://schemas.openxmlformats.org/officeDocument/2006/relationships/drawing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customProperty10.bin" Type="http://schemas.openxmlformats.org/officeDocument/2006/relationships/customProperty"/><Relationship Id="rId3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customProperty11.bin" Type="http://schemas.openxmlformats.org/officeDocument/2006/relationships/customProperty"/><Relationship Id="rId3" Target="../drawings/drawing11.xml" Type="http://schemas.openxmlformats.org/officeDocument/2006/relationships/drawing"/></Relationships>
</file>

<file path=xl/worksheets/_rels/sheet12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customProperty12.bin" Type="http://schemas.openxmlformats.org/officeDocument/2006/relationships/customProperty"/><Relationship Id="rId3" Target="../drawings/drawing12.xml" Type="http://schemas.openxmlformats.org/officeDocument/2006/relationships/drawing"/></Relationships>
</file>

<file path=xl/worksheets/_rels/sheet13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customProperty13.bin" Type="http://schemas.openxmlformats.org/officeDocument/2006/relationships/customProperty"/><Relationship Id="rId3" Target="../drawings/drawing13.xml" Type="http://schemas.openxmlformats.org/officeDocument/2006/relationships/drawing"/></Relationships>
</file>

<file path=xl/worksheets/_rels/sheet14.xml.rels><?xml version="1.0" encoding="UTF-8" standalone="no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customProperty14.bin" Type="http://schemas.openxmlformats.org/officeDocument/2006/relationships/customProperty"/><Relationship Id="rId3" Target="../drawings/drawing14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customProperty2.bin" Type="http://schemas.openxmlformats.org/officeDocument/2006/relationships/customProperty"/><Relationship Id="rId3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customProperty3.bin" Type="http://schemas.openxmlformats.org/officeDocument/2006/relationships/customProperty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Relationship Id="rId5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customProperty4.bin" Type="http://schemas.openxmlformats.org/officeDocument/2006/relationships/customProperty"/><Relationship Id="rId3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customProperty5.bin" Type="http://schemas.openxmlformats.org/officeDocument/2006/relationships/customProperty"/><Relationship Id="rId3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customProperty6.bin" Type="http://schemas.openxmlformats.org/officeDocument/2006/relationships/customProperty"/><Relationship Id="rId3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customProperty7.bin" Type="http://schemas.openxmlformats.org/officeDocument/2006/relationships/customProperty"/><Relationship Id="rId3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customProperty8.bin" Type="http://schemas.openxmlformats.org/officeDocument/2006/relationships/customProperty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Relationship Id="rId5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customProperty9.bin" Type="http://schemas.openxmlformats.org/officeDocument/2006/relationships/customProperty"/><Relationship Id="rId3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2:P53"/>
  <sheetViews>
    <sheetView tabSelected="1" zoomScale="90" zoomScaleNormal="90" zoomScaleSheetLayoutView="80" workbookViewId="0">
      <pane xSplit="2" ySplit="5" topLeftCell="C6" activePane="bottomRight" state="frozen"/>
      <selection activeCell="V4" sqref="V4"/>
      <selection pane="topRight" activeCell="V4" sqref="V4"/>
      <selection pane="bottomLeft" activeCell="V4" sqref="V4"/>
      <selection pane="bottomRight" activeCell="B6" sqref="B6"/>
    </sheetView>
  </sheetViews>
  <sheetFormatPr defaultRowHeight="15" x14ac:dyDescent="0.25"/>
  <cols>
    <col min="2" max="2" bestFit="true" customWidth="true" width="19.5703125" collapsed="false"/>
    <col min="3" max="3" customWidth="true" style="195" width="15.7109375" collapsed="false"/>
    <col min="4" max="4" bestFit="true" customWidth="true" width="5.5703125" collapsed="false"/>
    <col min="5" max="5" customWidth="true" width="27.140625" collapsed="false"/>
    <col min="6" max="6" customWidth="true" width="17.42578125" collapsed="false"/>
    <col min="7" max="12" customWidth="true" width="14.5703125" collapsed="false"/>
    <col min="13" max="13" customWidth="true" width="15.5703125" collapsed="false"/>
    <col min="14" max="14" customWidth="true" width="4.7109375" collapsed="false"/>
    <col min="15" max="15" customWidth="true" width="13.42578125" collapsed="false"/>
    <col min="16" max="16" bestFit="true" customWidth="true" width="15.0" collapsed="false"/>
  </cols>
  <sheetData>
    <row r="2" spans="1:15" ht="21" x14ac:dyDescent="0.35">
      <c r="A2" s="1" t="s">
        <v>7973</v>
      </c>
      <c r="B2" s="63"/>
      <c r="C2" s="201"/>
    </row>
    <row r="3" spans="1:15" ht="15.75" customHeight="1" x14ac:dyDescent="0.35">
      <c r="A3" s="1" t="s">
        <v>7134</v>
      </c>
      <c r="B3" s="63"/>
    </row>
    <row r="4" spans="1:15" x14ac:dyDescent="0.25">
      <c r="D4" s="36"/>
      <c r="F4" s="65"/>
      <c r="G4" s="65"/>
      <c r="H4" s="65"/>
      <c r="I4" s="65"/>
      <c r="J4" s="65"/>
      <c r="K4" s="65" t="s">
        <v>7042</v>
      </c>
      <c r="L4" s="65" t="s">
        <v>7043</v>
      </c>
      <c r="N4" s="65"/>
    </row>
    <row r="5" spans="1:15" x14ac:dyDescent="0.25">
      <c r="A5" s="66"/>
      <c r="B5" s="66"/>
      <c r="C5" s="68" t="s">
        <v>7139</v>
      </c>
      <c r="D5" s="36" t="s">
        <v>6991</v>
      </c>
      <c r="E5" t="s">
        <v>6992</v>
      </c>
      <c r="F5" s="67" t="s">
        <v>65</v>
      </c>
      <c r="G5" s="67" t="s">
        <v>70</v>
      </c>
      <c r="H5" s="67" t="s">
        <v>66</v>
      </c>
      <c r="I5" s="67" t="s">
        <v>8124</v>
      </c>
      <c r="J5" s="67" t="s">
        <v>8125</v>
      </c>
      <c r="K5" s="67" t="s">
        <v>7044</v>
      </c>
      <c r="L5" s="67" t="s">
        <v>7044</v>
      </c>
      <c r="M5" s="68" t="s">
        <v>6996</v>
      </c>
      <c r="N5" s="67"/>
      <c r="O5" s="69" t="s">
        <v>6997</v>
      </c>
    </row>
    <row r="6" spans="1:15" x14ac:dyDescent="0.25">
      <c r="A6" s="4" t="s">
        <v>6998</v>
      </c>
      <c r="D6" s="36"/>
    </row>
    <row r="7" spans="1:15" x14ac:dyDescent="0.25">
      <c r="B7" s="71" t="s">
        <v>7135</v>
      </c>
      <c r="C7" s="306">
        <f>+'Account Detail'!H310-Summary!C8</f>
        <v>748641.25260937074</v>
      </c>
      <c r="D7" s="36">
        <v>2</v>
      </c>
      <c r="E7" t="str">
        <f>INDEX('Allocator Summary'!B$32:B$46,MATCH($D7,'Allocator Summary'!$A$32:$A$46,0))</f>
        <v>Base/Extra Daily</v>
      </c>
      <c r="F7" s="179">
        <f>INDEX('Allocator Summary'!C$32:C$46,MATCH($D7,'Allocator Summary'!$A$32:$A$46,0))*$C7</f>
        <v>412870.67013340368</v>
      </c>
      <c r="G7" s="179">
        <f>INDEX('Allocator Summary'!D$32:D$46,MATCH($D7,'Allocator Summary'!$A$32:$A$46,0))*$C7</f>
        <v>198372.71651191363</v>
      </c>
      <c r="H7" s="179">
        <f>INDEX('Allocator Summary'!E$32:E$46,MATCH($D7,'Allocator Summary'!$A$32:$A$46,0))*$C7</f>
        <v>107509.41891142634</v>
      </c>
      <c r="I7" s="179">
        <f>INDEX('Allocator Summary'!F$32:F$46,MATCH($D7,'Allocator Summary'!$A$32:$A$46,0))*$C7</f>
        <v>28630.599791377372</v>
      </c>
      <c r="J7" s="179">
        <f>INDEX('Allocator Summary'!G$32:G$46,MATCH($D7,'Allocator Summary'!$A$32:$A$46,0))*$C7</f>
        <v>1257.8472612496475</v>
      </c>
      <c r="K7" s="179">
        <f>INDEX('Allocator Summary'!H$32:H$46,MATCH($D7,'Allocator Summary'!$A$32:$A$46,0))*$C7</f>
        <v>0</v>
      </c>
      <c r="L7" s="179">
        <f>INDEX('Allocator Summary'!I$32:I$46,MATCH($D7,'Allocator Summary'!$A$32:$A$46,0))*$C7</f>
        <v>0</v>
      </c>
      <c r="M7" s="179">
        <f>SUM(F7:L7)</f>
        <v>748641.25260937063</v>
      </c>
      <c r="N7" s="179"/>
      <c r="O7" s="179">
        <f>M7-C7</f>
        <v>0</v>
      </c>
    </row>
    <row r="8" spans="1:15" x14ac:dyDescent="0.25">
      <c r="B8" s="71" t="s">
        <v>7136</v>
      </c>
      <c r="C8" s="306">
        <f>+'Account Detail'!H467</f>
        <v>174784.38112377655</v>
      </c>
      <c r="D8" s="36">
        <v>1</v>
      </c>
      <c r="E8" t="str">
        <f>INDEX('Allocator Summary'!B$32:B$46,MATCH($D8,'Allocator Summary'!$A$32:$A$46,0))</f>
        <v>Total Usage</v>
      </c>
      <c r="F8" s="179">
        <f>INDEX('Allocator Summary'!C$32:C$46,MATCH($D8,'Allocator Summary'!$A$32:$A$46,0))*$C8</f>
        <v>89809.029814345515</v>
      </c>
      <c r="G8" s="179">
        <f>INDEX('Allocator Summary'!D$32:D$46,MATCH($D8,'Allocator Summary'!$A$32:$A$46,0))*$C8</f>
        <v>48986.742564028071</v>
      </c>
      <c r="H8" s="179">
        <f>INDEX('Allocator Summary'!E$32:E$46,MATCH($D8,'Allocator Summary'!$A$32:$A$46,0))*$C8</f>
        <v>30700.923011581155</v>
      </c>
      <c r="I8" s="179">
        <f>INDEX('Allocator Summary'!F$32:F$46,MATCH($D8,'Allocator Summary'!$A$32:$A$46,0))*$C8</f>
        <v>5029.4565923337977</v>
      </c>
      <c r="J8" s="179">
        <f>INDEX('Allocator Summary'!G$32:G$46,MATCH($D8,'Allocator Summary'!$A$32:$A$46,0))*$C8</f>
        <v>258.2291414879864</v>
      </c>
      <c r="K8" s="179">
        <f>INDEX('Allocator Summary'!H$32:H$46,MATCH($D8,'Allocator Summary'!$A$32:$A$46,0))*$C8</f>
        <v>0</v>
      </c>
      <c r="L8" s="179">
        <f>INDEX('Allocator Summary'!I$32:I$46,MATCH($D8,'Allocator Summary'!$A$32:$A$46,0))*$C8</f>
        <v>0</v>
      </c>
      <c r="M8" s="179">
        <f>SUM(F8:L8)</f>
        <v>174784.38112377652</v>
      </c>
      <c r="N8" s="179"/>
      <c r="O8" s="179">
        <f>M8-C8</f>
        <v>0</v>
      </c>
    </row>
    <row r="9" spans="1:15" x14ac:dyDescent="0.25">
      <c r="B9" s="71"/>
      <c r="D9" s="36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5" x14ac:dyDescent="0.25">
      <c r="A10" s="4" t="s">
        <v>7002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15" x14ac:dyDescent="0.25">
      <c r="B11" s="71" t="s">
        <v>7135</v>
      </c>
      <c r="C11" s="306">
        <f>+'Account Detail'!I310-'Account Detail'!I467</f>
        <v>5141334.4624232529</v>
      </c>
      <c r="D11" s="36">
        <v>2</v>
      </c>
      <c r="E11" t="str">
        <f>INDEX('Allocator Summary'!B$32:B$46,MATCH($D11,'Allocator Summary'!$A$32:$A$46,0))</f>
        <v>Base/Extra Daily</v>
      </c>
      <c r="F11" s="179">
        <f>INDEX('Allocator Summary'!C$32:C$46,MATCH($D11,'Allocator Summary'!$A$32:$A$46,0))*$C11</f>
        <v>2835411.7509314516</v>
      </c>
      <c r="G11" s="179">
        <f>INDEX('Allocator Summary'!D$32:D$46,MATCH($D11,'Allocator Summary'!$A$32:$A$46,0))*$C11</f>
        <v>1362335.4046445901</v>
      </c>
      <c r="H11" s="179">
        <f>INDEX('Allocator Summary'!E$32:E$46,MATCH($D11,'Allocator Summary'!$A$32:$A$46,0))*$C11</f>
        <v>738326.77341496502</v>
      </c>
      <c r="I11" s="179">
        <f>INDEX('Allocator Summary'!F$32:F$46,MATCH($D11,'Allocator Summary'!$A$32:$A$46,0))*$C11</f>
        <v>196622.19904953975</v>
      </c>
      <c r="J11" s="179">
        <f>INDEX('Allocator Summary'!G$32:G$46,MATCH($D11,'Allocator Summary'!$A$32:$A$46,0))*$C11</f>
        <v>8638.3343827058688</v>
      </c>
      <c r="K11" s="179">
        <f>INDEX('Allocator Summary'!H$32:H$46,MATCH($D11,'Allocator Summary'!$A$32:$A$46,0))*$C11</f>
        <v>0</v>
      </c>
      <c r="L11" s="179">
        <f>INDEX('Allocator Summary'!I$32:I$46,MATCH($D11,'Allocator Summary'!$A$32:$A$46,0))*$C11</f>
        <v>0</v>
      </c>
      <c r="M11" s="179">
        <f>SUM(F11:L11)</f>
        <v>5141334.4624232529</v>
      </c>
      <c r="N11" s="179"/>
      <c r="O11" s="179">
        <f>M11-C11</f>
        <v>0</v>
      </c>
    </row>
    <row r="12" spans="1:15" x14ac:dyDescent="0.25">
      <c r="B12" s="71" t="s">
        <v>7136</v>
      </c>
      <c r="C12" s="306">
        <f>'Account Detail'!I467</f>
        <v>1058388.400414746</v>
      </c>
      <c r="D12" s="36">
        <v>1</v>
      </c>
      <c r="E12" t="str">
        <f>INDEX('Allocator Summary'!B$32:B$46,MATCH($D12,'Allocator Summary'!$A$32:$A$46,0))</f>
        <v>Total Usage</v>
      </c>
      <c r="F12" s="179">
        <f>INDEX('Allocator Summary'!C$32:C$46,MATCH($D12,'Allocator Summary'!$A$32:$A$46,0))*$C12</f>
        <v>543829.11560439772</v>
      </c>
      <c r="G12" s="179">
        <f>INDEX('Allocator Summary'!D$32:D$46,MATCH($D12,'Allocator Summary'!$A$32:$A$46,0))*$C12</f>
        <v>296634.05717673525</v>
      </c>
      <c r="H12" s="179">
        <f>INDEX('Allocator Summary'!E$32:E$46,MATCH($D12,'Allocator Summary'!$A$32:$A$46,0))*$C12</f>
        <v>185906.20391002111</v>
      </c>
      <c r="I12" s="179">
        <f>INDEX('Allocator Summary'!F$32:F$46,MATCH($D12,'Allocator Summary'!$A$32:$A$46,0))*$C12</f>
        <v>30455.344370535662</v>
      </c>
      <c r="J12" s="179">
        <f>INDEX('Allocator Summary'!G$32:G$46,MATCH($D12,'Allocator Summary'!$A$32:$A$46,0))*$C12</f>
        <v>1563.6793530561304</v>
      </c>
      <c r="K12" s="179">
        <f>INDEX('Allocator Summary'!H$32:H$46,MATCH($D12,'Allocator Summary'!$A$32:$A$46,0))*$C12</f>
        <v>0</v>
      </c>
      <c r="L12" s="179">
        <f>INDEX('Allocator Summary'!I$32:I$46,MATCH($D12,'Allocator Summary'!$A$32:$A$46,0))*$C12</f>
        <v>0</v>
      </c>
      <c r="M12" s="179">
        <f>SUM(F12:L12)</f>
        <v>1058388.400414746</v>
      </c>
      <c r="N12" s="179"/>
      <c r="O12" s="179">
        <f>M12-C12</f>
        <v>0</v>
      </c>
    </row>
    <row r="13" spans="1:15" x14ac:dyDescent="0.25">
      <c r="F13" s="179"/>
      <c r="G13" s="179"/>
      <c r="H13" s="179"/>
      <c r="I13" s="179"/>
      <c r="J13" s="179"/>
      <c r="K13" s="179"/>
      <c r="L13" s="179"/>
      <c r="M13" s="179"/>
      <c r="N13" s="179"/>
      <c r="O13" s="179"/>
    </row>
    <row r="14" spans="1:15" x14ac:dyDescent="0.25">
      <c r="A14" s="4" t="s">
        <v>9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</row>
    <row r="15" spans="1:15" x14ac:dyDescent="0.25">
      <c r="B15" s="71" t="s">
        <v>7135</v>
      </c>
      <c r="C15" s="306">
        <f>+'Account Detail'!J310-'Account Detail'!J467</f>
        <v>5733187.1322510447</v>
      </c>
      <c r="D15" s="36">
        <v>2</v>
      </c>
      <c r="E15" t="str">
        <f>INDEX('Allocator Summary'!B$32:B$46,MATCH($D15,'Allocator Summary'!$A$32:$A$46,0))</f>
        <v>Base/Extra Daily</v>
      </c>
      <c r="F15" s="179">
        <f>INDEX('Allocator Summary'!C$32:C$46,MATCH($D15,'Allocator Summary'!$A$32:$A$46,0))*$C15</f>
        <v>3161814.5607690588</v>
      </c>
      <c r="G15" s="179">
        <f>INDEX('Allocator Summary'!D$32:D$46,MATCH($D15,'Allocator Summary'!$A$32:$A$46,0))*$C15</f>
        <v>1519162.7521616379</v>
      </c>
      <c r="H15" s="179">
        <f>INDEX('Allocator Summary'!E$32:E$46,MATCH($D15,'Allocator Summary'!$A$32:$A$46,0))*$C15</f>
        <v>823320.40206230746</v>
      </c>
      <c r="I15" s="179">
        <f>INDEX('Allocator Summary'!F$32:F$46,MATCH($D15,'Allocator Summary'!$A$32:$A$46,0))*$C15</f>
        <v>219256.66765013585</v>
      </c>
      <c r="J15" s="179">
        <f>INDEX('Allocator Summary'!G$32:G$46,MATCH($D15,'Allocator Summary'!$A$32:$A$46,0))*$C15</f>
        <v>9632.7496079040284</v>
      </c>
      <c r="K15" s="179">
        <f>INDEX('Allocator Summary'!H$32:H$46,MATCH($D15,'Allocator Summary'!$A$32:$A$46,0))*$C15</f>
        <v>0</v>
      </c>
      <c r="L15" s="179">
        <f>INDEX('Allocator Summary'!I$32:I$46,MATCH($D15,'Allocator Summary'!$A$32:$A$46,0))*$C15</f>
        <v>0</v>
      </c>
      <c r="M15" s="179">
        <f>SUM(F15:L15)</f>
        <v>5733187.1322510438</v>
      </c>
      <c r="N15" s="179"/>
      <c r="O15" s="179">
        <f>M15-C15</f>
        <v>0</v>
      </c>
    </row>
    <row r="16" spans="1:15" x14ac:dyDescent="0.25">
      <c r="B16" s="71" t="s">
        <v>7136</v>
      </c>
      <c r="C16" s="306">
        <f>'Account Detail'!J467</f>
        <v>1555552</v>
      </c>
      <c r="D16" s="36">
        <v>1</v>
      </c>
      <c r="E16" t="str">
        <f>INDEX('Allocator Summary'!B$32:B$46,MATCH($D16,'Allocator Summary'!$A$32:$A$46,0))</f>
        <v>Total Usage</v>
      </c>
      <c r="F16" s="179">
        <f>INDEX('Allocator Summary'!C$32:C$46,MATCH($D16,'Allocator Summary'!$A$32:$A$46,0))*$C16</f>
        <v>799285.46845860325</v>
      </c>
      <c r="G16" s="179">
        <f>INDEX('Allocator Summary'!D$32:D$46,MATCH($D16,'Allocator Summary'!$A$32:$A$46,0))*$C16</f>
        <v>435973.88324415358</v>
      </c>
      <c r="H16" s="179">
        <f>INDEX('Allocator Summary'!E$32:E$46,MATCH($D16,'Allocator Summary'!$A$32:$A$46,0))*$C16</f>
        <v>273233.12235028163</v>
      </c>
      <c r="I16" s="179">
        <f>INDEX('Allocator Summary'!F$32:F$46,MATCH($D16,'Allocator Summary'!$A$32:$A$46,0))*$C16</f>
        <v>44761.329420948779</v>
      </c>
      <c r="J16" s="179">
        <f>INDEX('Allocator Summary'!G$32:G$46,MATCH($D16,'Allocator Summary'!$A$32:$A$46,0))*$C16</f>
        <v>2298.1965260125694</v>
      </c>
      <c r="K16" s="179">
        <f>INDEX('Allocator Summary'!H$32:H$46,MATCH($D16,'Allocator Summary'!$A$32:$A$46,0))*$C16</f>
        <v>0</v>
      </c>
      <c r="L16" s="179">
        <f>INDEX('Allocator Summary'!I$32:I$46,MATCH($D16,'Allocator Summary'!$A$32:$A$46,0))*$C16</f>
        <v>0</v>
      </c>
      <c r="M16" s="179">
        <f>SUM(F16:L16)</f>
        <v>1555551.9999999998</v>
      </c>
      <c r="N16" s="179"/>
      <c r="O16" s="179">
        <f>M16-C16</f>
        <v>0</v>
      </c>
    </row>
    <row r="17" spans="1:16" x14ac:dyDescent="0.25">
      <c r="F17" s="179"/>
      <c r="G17" s="179"/>
      <c r="H17" s="179"/>
      <c r="I17" s="179"/>
      <c r="J17" s="179"/>
      <c r="K17" s="179"/>
      <c r="L17" s="179"/>
      <c r="M17" s="179"/>
      <c r="N17" s="179"/>
      <c r="O17" s="179"/>
    </row>
    <row r="18" spans="1:16" x14ac:dyDescent="0.25">
      <c r="A18" t="s">
        <v>6980</v>
      </c>
      <c r="C18" s="306">
        <f>+'Account Detail'!K310</f>
        <v>4985362.0513121672</v>
      </c>
      <c r="D18" s="36">
        <v>4</v>
      </c>
      <c r="E18" t="str">
        <f>INDEX('Allocator Summary'!B$32:B$46,MATCH($D18,'Allocator Summary'!$A$32:$A$46,0))</f>
        <v>Base/Extra Daily w/ Fire</v>
      </c>
      <c r="F18" s="179">
        <f>INDEX('Allocator Summary'!C$32:C$46,MATCH($D18,'Allocator Summary'!$A$32:$A$46,0))*$C18</f>
        <v>2070595.4849667975</v>
      </c>
      <c r="G18" s="179">
        <f>INDEX('Allocator Summary'!D$32:D$46,MATCH($D18,'Allocator Summary'!$A$32:$A$46,0))*$C18</f>
        <v>991445.95814442053</v>
      </c>
      <c r="H18" s="179">
        <f>INDEX('Allocator Summary'!E$32:E$46,MATCH($D18,'Allocator Summary'!$A$32:$A$46,0))*$C18</f>
        <v>534889.77504571446</v>
      </c>
      <c r="I18" s="179">
        <f>INDEX('Allocator Summary'!F$32:F$46,MATCH($D18,'Allocator Summary'!$A$32:$A$46,0))*$C18</f>
        <v>144287.46377694217</v>
      </c>
      <c r="J18" s="179">
        <f>INDEX('Allocator Summary'!G$32:G$46,MATCH($D18,'Allocator Summary'!$A$32:$A$46,0))*$C18</f>
        <v>6317.2591829429466</v>
      </c>
      <c r="K18" s="179">
        <f>INDEX('Allocator Summary'!H$32:H$46,MATCH($D18,'Allocator Summary'!$A$32:$A$46,0))*$C18</f>
        <v>204241.30818223263</v>
      </c>
      <c r="L18" s="179">
        <f>INDEX('Allocator Summary'!I$32:I$46,MATCH($D18,'Allocator Summary'!$A$32:$A$46,0))*$C18</f>
        <v>1033584.8020131167</v>
      </c>
      <c r="M18" s="179">
        <f t="shared" ref="M18:M24" si="0">SUM(F18:L18)</f>
        <v>4985362.0513121672</v>
      </c>
      <c r="N18" s="179"/>
      <c r="O18" s="179">
        <f t="shared" ref="O18:O24" si="1">M18-C18</f>
        <v>0</v>
      </c>
    </row>
    <row r="19" spans="1:16" x14ac:dyDescent="0.25">
      <c r="A19" t="s">
        <v>6981</v>
      </c>
      <c r="C19" s="306">
        <f>'Account Detail'!L310</f>
        <v>9959614.2232438363</v>
      </c>
      <c r="D19" s="36">
        <v>5</v>
      </c>
      <c r="E19" t="str">
        <f>INDEX('Allocator Summary'!B$32:B$46,MATCH($D19,'Allocator Summary'!$A$32:$A$46,0))</f>
        <v>Base/Extra Hourly w/ Fire</v>
      </c>
      <c r="F19" s="179">
        <f>INDEX('Allocator Summary'!C$32:C$46,MATCH($D19,'Allocator Summary'!$A$32:$A$46,0))*$C19</f>
        <v>4657138.8562645353</v>
      </c>
      <c r="G19" s="179">
        <f>INDEX('Allocator Summary'!D$32:D$46,MATCH($D19,'Allocator Summary'!$A$32:$A$46,0))*$C19</f>
        <v>1594159.0745902422</v>
      </c>
      <c r="H19" s="179">
        <f>INDEX('Allocator Summary'!E$32:E$46,MATCH($D19,'Allocator Summary'!$A$32:$A$46,0))*$C19</f>
        <v>252401.63464479105</v>
      </c>
      <c r="I19" s="179">
        <f>INDEX('Allocator Summary'!F$32:F$46,MATCH($D19,'Allocator Summary'!$A$32:$A$46,0))*$C19</f>
        <v>356705.76169863471</v>
      </c>
      <c r="J19" s="179">
        <f>INDEX('Allocator Summary'!G$32:G$46,MATCH($D19,'Allocator Summary'!$A$32:$A$46,0))*$C19</f>
        <v>5058.2649962443229</v>
      </c>
      <c r="K19" s="179">
        <f>INDEX('Allocator Summary'!H$32:H$46,MATCH($D19,'Allocator Summary'!$A$32:$A$46,0))*$C19</f>
        <v>510534.85412314936</v>
      </c>
      <c r="L19" s="179">
        <f>INDEX('Allocator Summary'!I$32:I$46,MATCH($D19,'Allocator Summary'!$A$32:$A$46,0))*$C19</f>
        <v>2583615.7769262404</v>
      </c>
      <c r="M19" s="179">
        <f t="shared" si="0"/>
        <v>9959614.2232438382</v>
      </c>
      <c r="N19" s="179"/>
      <c r="O19" s="179">
        <f t="shared" si="1"/>
        <v>0</v>
      </c>
    </row>
    <row r="20" spans="1:16" x14ac:dyDescent="0.25">
      <c r="A20" t="s">
        <v>6959</v>
      </c>
      <c r="C20" s="306">
        <f>'Account Detail'!M310</f>
        <v>770567.31428158062</v>
      </c>
      <c r="D20" s="36">
        <v>6</v>
      </c>
      <c r="E20" t="str">
        <f>INDEX('Allocator Summary'!B$32:B$46,MATCH($D20,'Allocator Summary'!$A$32:$A$46,0))</f>
        <v>Storage</v>
      </c>
      <c r="F20" s="179">
        <f>INDEX('Allocator Summary'!C$32:C$46,MATCH($D20,'Allocator Summary'!$A$32:$A$46,0))*$C20</f>
        <v>206327.90382382547</v>
      </c>
      <c r="G20" s="179">
        <f>INDEX('Allocator Summary'!D$32:D$46,MATCH($D20,'Allocator Summary'!$A$32:$A$46,0))*$C20</f>
        <v>65962.606074477124</v>
      </c>
      <c r="H20" s="179">
        <f>INDEX('Allocator Summary'!E$32:E$46,MATCH($D20,'Allocator Summary'!$A$32:$A$46,0))*$C20</f>
        <v>41340.019457077709</v>
      </c>
      <c r="I20" s="179">
        <f>INDEX('Allocator Summary'!F$32:F$46,MATCH($D20,'Allocator Summary'!$A$32:$A$46,0))*$C20</f>
        <v>16735.583200219284</v>
      </c>
      <c r="J20" s="179">
        <f>INDEX('Allocator Summary'!G$32:G$46,MATCH($D20,'Allocator Summary'!$A$32:$A$46,0))*$C20</f>
        <v>143.09784801061878</v>
      </c>
      <c r="K20" s="179">
        <f>INDEX('Allocator Summary'!H$32:H$46,MATCH($D20,'Allocator Summary'!$A$32:$A$46,0))*$C20</f>
        <v>72609.587139865122</v>
      </c>
      <c r="L20" s="179">
        <f>INDEX('Allocator Summary'!I$32:I$46,MATCH($D20,'Allocator Summary'!$A$32:$A$46,0))*$C20</f>
        <v>367448.51673810533</v>
      </c>
      <c r="M20" s="179">
        <f t="shared" si="0"/>
        <v>770567.31428158062</v>
      </c>
      <c r="N20" s="179"/>
      <c r="O20" s="179">
        <f t="shared" si="1"/>
        <v>0</v>
      </c>
    </row>
    <row r="21" spans="1:16" x14ac:dyDescent="0.25">
      <c r="A21" t="s">
        <v>28</v>
      </c>
      <c r="C21" s="306">
        <f>'Account Detail'!N310</f>
        <v>2782967.7610592488</v>
      </c>
      <c r="D21" s="36">
        <v>7</v>
      </c>
      <c r="E21" t="str">
        <f>INDEX('Allocator Summary'!B$32:B$46,MATCH($D21,'Allocator Summary'!$A$32:$A$46,0))</f>
        <v>Meters</v>
      </c>
      <c r="F21" s="179">
        <f>INDEX('Allocator Summary'!C$32:C$46,MATCH($D21,'Allocator Summary'!$A$32:$A$46,0))*$C21</f>
        <v>2147067.2128041689</v>
      </c>
      <c r="G21" s="179">
        <f>INDEX('Allocator Summary'!D$32:D$46,MATCH($D21,'Allocator Summary'!$A$32:$A$46,0))*$C21</f>
        <v>532509.33959188173</v>
      </c>
      <c r="H21" s="179">
        <f>INDEX('Allocator Summary'!E$32:E$46,MATCH($D21,'Allocator Summary'!$A$32:$A$46,0))*$C21</f>
        <v>42391.599265489378</v>
      </c>
      <c r="I21" s="179">
        <f>INDEX('Allocator Summary'!F$32:F$46,MATCH($D21,'Allocator Summary'!$A$32:$A$46,0))*$C21</f>
        <v>58174.398699208527</v>
      </c>
      <c r="J21" s="179">
        <f>INDEX('Allocator Summary'!G$32:G$46,MATCH($D21,'Allocator Summary'!$A$32:$A$46,0))*$C21</f>
        <v>2825.2106985002342</v>
      </c>
      <c r="K21" s="179">
        <f>INDEX('Allocator Summary'!H$32:H$46,MATCH($D21,'Allocator Summary'!$A$32:$A$46,0))*$C21</f>
        <v>0</v>
      </c>
      <c r="L21" s="179">
        <f>INDEX('Allocator Summary'!I$32:I$46,MATCH($D21,'Allocator Summary'!$A$32:$A$46,0))*$C21</f>
        <v>0</v>
      </c>
      <c r="M21" s="179">
        <f t="shared" si="0"/>
        <v>2782967.7610592488</v>
      </c>
      <c r="N21" s="179"/>
      <c r="O21" s="179">
        <f t="shared" si="1"/>
        <v>0</v>
      </c>
    </row>
    <row r="22" spans="1:16" x14ac:dyDescent="0.25">
      <c r="A22" t="s">
        <v>27</v>
      </c>
      <c r="C22" s="306">
        <f>'Account Detail'!O310</f>
        <v>579239.86401747935</v>
      </c>
      <c r="D22" s="36">
        <v>8</v>
      </c>
      <c r="E22" t="str">
        <f>INDEX('Allocator Summary'!B$32:B$46,MATCH($D22,'Allocator Summary'!$A$32:$A$46,0))</f>
        <v>Services</v>
      </c>
      <c r="F22" s="179">
        <f>INDEX('Allocator Summary'!C$32:C$46,MATCH($D22,'Allocator Summary'!$A$32:$A$46,0))*$C22</f>
        <v>464539.7305725016</v>
      </c>
      <c r="G22" s="179">
        <f>INDEX('Allocator Summary'!D$32:D$46,MATCH($D22,'Allocator Summary'!$A$32:$A$46,0))*$C22</f>
        <v>60481.688159105805</v>
      </c>
      <c r="H22" s="179">
        <f>INDEX('Allocator Summary'!E$32:E$46,MATCH($D22,'Allocator Summary'!$A$32:$A$46,0))*$C22</f>
        <v>2121.6652078302759</v>
      </c>
      <c r="I22" s="179">
        <f>INDEX('Allocator Summary'!F$32:F$46,MATCH($D22,'Allocator Summary'!$A$32:$A$46,0))*$C22</f>
        <v>4635.264978992569</v>
      </c>
      <c r="J22" s="179">
        <f>INDEX('Allocator Summary'!G$32:G$46,MATCH($D22,'Allocator Summary'!$A$32:$A$46,0))*$C22</f>
        <v>163.39090254991626</v>
      </c>
      <c r="K22" s="179">
        <f>INDEX('Allocator Summary'!H$32:H$46,MATCH($D22,'Allocator Summary'!$A$32:$A$46,0))*$C22</f>
        <v>47298.124196499179</v>
      </c>
      <c r="L22" s="179">
        <f>INDEX('Allocator Summary'!I$32:I$46,MATCH($D22,'Allocator Summary'!$A$32:$A$46,0))*$C22</f>
        <v>0</v>
      </c>
      <c r="M22" s="179">
        <f t="shared" si="0"/>
        <v>579239.86401747935</v>
      </c>
      <c r="N22" s="179"/>
      <c r="O22" s="179">
        <f t="shared" si="1"/>
        <v>0</v>
      </c>
    </row>
    <row r="23" spans="1:16" x14ac:dyDescent="0.25">
      <c r="A23" t="s">
        <v>6995</v>
      </c>
      <c r="B23" s="73"/>
      <c r="C23" s="306">
        <f>'Account Detail'!P310</f>
        <v>5235051.6817250662</v>
      </c>
      <c r="D23" s="36">
        <v>9</v>
      </c>
      <c r="E23" t="str">
        <f>INDEX('Allocator Summary'!B$32:B$46,MATCH($D23,'Allocator Summary'!$A$32:$A$46,0))</f>
        <v>Customers</v>
      </c>
      <c r="F23" s="179">
        <f>INDEX('Allocator Summary'!C$32:C$46,MATCH($D23,'Allocator Summary'!$A$32:$A$46,0))*$C23</f>
        <v>4684112.6929215565</v>
      </c>
      <c r="G23" s="179">
        <f>INDEX('Allocator Summary'!D$32:D$46,MATCH($D23,'Allocator Summary'!$A$32:$A$46,0))*$C23</f>
        <v>426077.19556737097</v>
      </c>
      <c r="H23" s="179">
        <f>INDEX('Allocator Summary'!E$32:E$46,MATCH($D23,'Allocator Summary'!$A$32:$A$46,0))*$C23</f>
        <v>6485.3121643300556</v>
      </c>
      <c r="I23" s="179">
        <f>INDEX('Allocator Summary'!F$32:F$46,MATCH($D23,'Allocator Summary'!$A$32:$A$46,0))*$C23</f>
        <v>23362.751049815502</v>
      </c>
      <c r="J23" s="179">
        <f>INDEX('Allocator Summary'!G$32:G$46,MATCH($D23,'Allocator Summary'!$A$32:$A$46,0))*$C23</f>
        <v>1015.7717847745871</v>
      </c>
      <c r="K23" s="179">
        <f>INDEX('Allocator Summary'!H$32:H$46,MATCH($D23,'Allocator Summary'!$A$32:$A$46,0))*$C23</f>
        <v>93997.95823721755</v>
      </c>
      <c r="L23" s="179">
        <f>INDEX('Allocator Summary'!I$32:I$46,MATCH($D23,'Allocator Summary'!$A$32:$A$46,0))*$C23</f>
        <v>0</v>
      </c>
      <c r="M23" s="179">
        <f t="shared" si="0"/>
        <v>5235051.6817250662</v>
      </c>
      <c r="N23" s="179"/>
      <c r="O23" s="179">
        <f t="shared" si="1"/>
        <v>0</v>
      </c>
    </row>
    <row r="24" spans="1:16" x14ac:dyDescent="0.25">
      <c r="A24" t="s">
        <v>30</v>
      </c>
      <c r="C24" s="306">
        <f>'Account Detail'!Q310</f>
        <v>4141828.4755384261</v>
      </c>
      <c r="D24" s="36">
        <v>10</v>
      </c>
      <c r="E24" t="str">
        <f>INDEX('Allocator Summary'!B$32:B$46,MATCH($D24,'Allocator Summary'!$A$32:$A$46,0))</f>
        <v>Hydrants</v>
      </c>
      <c r="F24" s="179">
        <f>INDEX('Allocator Summary'!C$32:C$46,MATCH($D24,'Allocator Summary'!$A$32:$A$46,0))*$C24</f>
        <v>0</v>
      </c>
      <c r="G24" s="179">
        <f>INDEX('Allocator Summary'!D$32:D$46,MATCH($D24,'Allocator Summary'!$A$32:$A$46,0))*$C24</f>
        <v>0</v>
      </c>
      <c r="H24" s="179">
        <f>INDEX('Allocator Summary'!E$32:E$46,MATCH($D24,'Allocator Summary'!$A$32:$A$46,0))*$C24</f>
        <v>0</v>
      </c>
      <c r="I24" s="179">
        <f>INDEX('Allocator Summary'!F$32:F$46,MATCH($D24,'Allocator Summary'!$A$32:$A$46,0))*$C24</f>
        <v>0</v>
      </c>
      <c r="J24" s="179">
        <f>INDEX('Allocator Summary'!G$32:G$46,MATCH($D24,'Allocator Summary'!$A$32:$A$46,0))*$C24</f>
        <v>0</v>
      </c>
      <c r="K24" s="179">
        <f>INDEX('Allocator Summary'!H$32:H$46,MATCH($D24,'Allocator Summary'!$A$32:$A$46,0))*$C24</f>
        <v>0</v>
      </c>
      <c r="L24" s="179">
        <f>INDEX('Allocator Summary'!I$32:I$46,MATCH($D24,'Allocator Summary'!$A$32:$A$46,0))*$C24</f>
        <v>4141828.4755384261</v>
      </c>
      <c r="M24" s="179">
        <f t="shared" si="0"/>
        <v>4141828.4755384261</v>
      </c>
      <c r="N24" s="179"/>
      <c r="O24" s="179">
        <f t="shared" si="1"/>
        <v>0</v>
      </c>
    </row>
    <row r="25" spans="1:16" x14ac:dyDescent="0.25">
      <c r="F25" s="179"/>
      <c r="G25" s="179"/>
      <c r="H25" s="179"/>
      <c r="I25" s="179"/>
      <c r="J25" s="179"/>
      <c r="K25" s="179"/>
      <c r="L25" s="179"/>
      <c r="M25" s="179"/>
      <c r="N25" s="179"/>
      <c r="O25" s="179"/>
    </row>
    <row r="26" spans="1:16" x14ac:dyDescent="0.25">
      <c r="A26" t="s">
        <v>6996</v>
      </c>
      <c r="C26" s="307">
        <f>SUM(C7:C24)</f>
        <v>42866518.999999993</v>
      </c>
      <c r="F26" s="180">
        <f>SUM(F7:F24)</f>
        <v>22072802.477064647</v>
      </c>
      <c r="G26" s="180">
        <f t="shared" ref="G26:M26" si="2">SUM(G7:G24)</f>
        <v>7532101.4184305565</v>
      </c>
      <c r="H26" s="180">
        <f t="shared" si="2"/>
        <v>3038626.8494458152</v>
      </c>
      <c r="I26" s="180">
        <f t="shared" si="2"/>
        <v>1128656.8202786839</v>
      </c>
      <c r="J26" s="180">
        <f t="shared" si="2"/>
        <v>39172.031685438858</v>
      </c>
      <c r="K26" s="180">
        <f t="shared" si="2"/>
        <v>928681.83187896386</v>
      </c>
      <c r="L26" s="180">
        <f t="shared" si="2"/>
        <v>8126477.5712158885</v>
      </c>
      <c r="M26" s="180">
        <f t="shared" si="2"/>
        <v>42866518.999999993</v>
      </c>
      <c r="N26" s="180"/>
      <c r="O26" s="179">
        <f>M26-C26</f>
        <v>0</v>
      </c>
    </row>
    <row r="27" spans="1:16" x14ac:dyDescent="0.25">
      <c r="F27" s="178">
        <f t="shared" ref="F27:L27" si="3">+F26/$M26</f>
        <v>0.51491940544704951</v>
      </c>
      <c r="G27" s="178">
        <f t="shared" si="3"/>
        <v>0.17571059171915868</v>
      </c>
      <c r="H27" s="178">
        <f t="shared" si="3"/>
        <v>7.0885784997979789E-2</v>
      </c>
      <c r="I27" s="178">
        <f t="shared" si="3"/>
        <v>2.6329565511925147E-2</v>
      </c>
      <c r="J27" s="178">
        <f t="shared" si="3"/>
        <v>9.1381415144623391E-4</v>
      </c>
      <c r="K27" s="178">
        <f t="shared" si="3"/>
        <v>2.1664503056078897E-2</v>
      </c>
      <c r="L27" s="178">
        <f t="shared" si="3"/>
        <v>0.18957633511636179</v>
      </c>
      <c r="M27" s="3"/>
      <c r="N27" s="178"/>
      <c r="O27" s="64"/>
    </row>
    <row r="28" spans="1:16" s="195" customFormat="1" x14ac:dyDescent="0.25">
      <c r="E28" s="196"/>
      <c r="F28" s="197"/>
      <c r="G28" s="197"/>
      <c r="H28" s="197"/>
      <c r="I28" s="197"/>
      <c r="J28" s="197"/>
      <c r="K28" s="197"/>
      <c r="L28" s="197"/>
      <c r="M28" s="198"/>
      <c r="N28" s="197"/>
      <c r="O28" s="199"/>
      <c r="P28" s="200"/>
    </row>
    <row r="29" spans="1:16" x14ac:dyDescent="0.25">
      <c r="F29" s="3"/>
      <c r="G29" s="3"/>
      <c r="H29" s="3"/>
      <c r="I29" s="3"/>
      <c r="J29" s="3"/>
      <c r="K29" s="3"/>
      <c r="L29" s="3"/>
      <c r="M29" s="3"/>
      <c r="N29" s="3"/>
      <c r="O29" s="64"/>
    </row>
    <row r="30" spans="1:16" x14ac:dyDescent="0.25">
      <c r="A30" t="s">
        <v>7169</v>
      </c>
      <c r="C30" s="201">
        <f>SUM(F30:L30)</f>
        <v>40565868</v>
      </c>
      <c r="F30" s="3">
        <f>+'Usage Statistics'!C25</f>
        <v>25750370</v>
      </c>
      <c r="G30" s="3">
        <f>+'Usage Statistics'!D25</f>
        <v>9469627</v>
      </c>
      <c r="H30" s="3">
        <f>+'Usage Statistics'!E25</f>
        <v>3260588</v>
      </c>
      <c r="I30" s="3">
        <f>+'Usage Statistics'!F25</f>
        <v>946309</v>
      </c>
      <c r="J30" s="3">
        <f>+'Usage Statistics'!G25</f>
        <v>48654</v>
      </c>
      <c r="K30" s="3">
        <f>+'Usage Statistics'!H25</f>
        <v>1090320</v>
      </c>
      <c r="L30" s="3">
        <f>+'Usage Statistics'!I25</f>
        <v>0</v>
      </c>
      <c r="M30" s="64">
        <f>SUM(F30:L30)</f>
        <v>40565868</v>
      </c>
      <c r="N30" s="3"/>
      <c r="O30" s="64">
        <f>M30-C30</f>
        <v>0</v>
      </c>
    </row>
    <row r="31" spans="1:16" x14ac:dyDescent="0.25">
      <c r="A31" t="s">
        <v>7170</v>
      </c>
      <c r="C31" s="308">
        <f>+LinkFromRevenues!E29</f>
        <v>984251.3</v>
      </c>
      <c r="F31" s="3"/>
      <c r="G31" s="3"/>
      <c r="H31" s="3"/>
      <c r="I31" s="3"/>
      <c r="J31" s="3"/>
      <c r="K31" s="3"/>
      <c r="L31" s="3"/>
      <c r="M31" s="64"/>
      <c r="N31" s="3"/>
      <c r="O31" s="64"/>
    </row>
    <row r="32" spans="1:16" x14ac:dyDescent="0.25">
      <c r="A32" t="s">
        <v>8160</v>
      </c>
      <c r="C32" s="307">
        <f>+C30+C31</f>
        <v>41550119.299999997</v>
      </c>
      <c r="F32" s="3"/>
      <c r="G32" s="3"/>
      <c r="H32" s="3"/>
      <c r="I32" s="3"/>
      <c r="J32" s="3"/>
      <c r="K32" s="3"/>
      <c r="L32" s="3"/>
      <c r="M32" s="64"/>
      <c r="N32" s="3"/>
      <c r="O32" s="64"/>
    </row>
    <row r="33" spans="1:16" x14ac:dyDescent="0.25">
      <c r="C33" s="307"/>
      <c r="F33" s="3"/>
      <c r="G33" s="3"/>
      <c r="H33" s="3"/>
      <c r="I33" s="3"/>
      <c r="J33" s="3"/>
      <c r="K33" s="3"/>
      <c r="L33" s="3"/>
      <c r="M33" s="64"/>
      <c r="N33" s="3"/>
      <c r="O33" s="64"/>
    </row>
    <row r="34" spans="1:16" x14ac:dyDescent="0.25">
      <c r="A34" t="s">
        <v>6967</v>
      </c>
      <c r="C34" s="201">
        <f>+C26-C30</f>
        <v>2300650.9999999925</v>
      </c>
      <c r="F34" s="64">
        <f>ROUND(F26-F30,0)</f>
        <v>-3677568</v>
      </c>
      <c r="G34" s="64">
        <f t="shared" ref="G34:L34" si="4">ROUND(G26-G30,0)</f>
        <v>-1937526</v>
      </c>
      <c r="H34" s="64">
        <f t="shared" si="4"/>
        <v>-221961</v>
      </c>
      <c r="I34" s="64">
        <f t="shared" si="4"/>
        <v>182348</v>
      </c>
      <c r="J34" s="64">
        <f t="shared" si="4"/>
        <v>-9482</v>
      </c>
      <c r="K34" s="64">
        <f t="shared" si="4"/>
        <v>-161638</v>
      </c>
      <c r="L34" s="64">
        <f t="shared" si="4"/>
        <v>8126478</v>
      </c>
      <c r="M34" s="64">
        <f>SUM(F34:L34)</f>
        <v>2300651</v>
      </c>
      <c r="N34" s="64"/>
      <c r="O34" s="64">
        <f>+M34-C34</f>
        <v>7.4505805969238281E-9</v>
      </c>
    </row>
    <row r="35" spans="1:16" x14ac:dyDescent="0.25">
      <c r="A35" t="s">
        <v>7138</v>
      </c>
      <c r="C35" s="309">
        <f>+C34/C30</f>
        <v>5.671395962733973E-2</v>
      </c>
      <c r="F35" s="41">
        <f t="shared" ref="F35:K35" si="5">(F26/F30)-1</f>
        <v>-0.14281610411560508</v>
      </c>
      <c r="G35" s="41">
        <f t="shared" si="5"/>
        <v>-0.20460421319334365</v>
      </c>
      <c r="H35" s="41">
        <f t="shared" si="5"/>
        <v>-6.8073964129839348E-2</v>
      </c>
      <c r="I35" s="41">
        <f t="shared" si="5"/>
        <v>0.19269373986581972</v>
      </c>
      <c r="J35" s="41">
        <f t="shared" si="5"/>
        <v>-0.19488568904018455</v>
      </c>
      <c r="K35" s="186">
        <f t="shared" si="5"/>
        <v>-0.14824837490006249</v>
      </c>
      <c r="L35" s="186"/>
      <c r="M35" s="41">
        <f>+M34/M30</f>
        <v>5.671395962733991E-2</v>
      </c>
      <c r="N35" s="186"/>
    </row>
    <row r="36" spans="1:16" s="195" customFormat="1" x14ac:dyDescent="0.25">
      <c r="E36" s="196"/>
      <c r="F36" s="197"/>
      <c r="G36" s="197"/>
      <c r="H36" s="197"/>
      <c r="I36" s="197"/>
      <c r="J36" s="197"/>
      <c r="K36" s="197"/>
      <c r="L36" s="197"/>
      <c r="M36" s="198"/>
      <c r="N36" s="197"/>
      <c r="O36" s="199"/>
      <c r="P36" s="200"/>
    </row>
    <row r="38" spans="1:16" x14ac:dyDescent="0.25">
      <c r="A38" t="s">
        <v>7177</v>
      </c>
      <c r="F38" s="64">
        <f t="shared" ref="F38:L38" si="6">F30</f>
        <v>25750370</v>
      </c>
      <c r="G38" s="64">
        <f>G30</f>
        <v>9469627</v>
      </c>
      <c r="H38" s="64">
        <f t="shared" si="6"/>
        <v>3260588</v>
      </c>
      <c r="I38" s="64">
        <f t="shared" si="6"/>
        <v>946309</v>
      </c>
      <c r="J38" s="64">
        <f t="shared" si="6"/>
        <v>48654</v>
      </c>
      <c r="K38" s="64">
        <f t="shared" si="6"/>
        <v>1090320</v>
      </c>
      <c r="L38" s="64">
        <f t="shared" si="6"/>
        <v>0</v>
      </c>
      <c r="M38" s="64">
        <f>SUM(F38:L38)</f>
        <v>40565868</v>
      </c>
      <c r="N38" s="64"/>
    </row>
    <row r="39" spans="1:16" x14ac:dyDescent="0.25">
      <c r="A39" t="s">
        <v>7178</v>
      </c>
      <c r="F39" s="64">
        <f>F34</f>
        <v>-3677568</v>
      </c>
      <c r="G39" s="64">
        <f>G34</f>
        <v>-1937526</v>
      </c>
      <c r="H39" s="64">
        <f t="shared" ref="H39:L39" si="7">H34</f>
        <v>-221961</v>
      </c>
      <c r="I39" s="64">
        <f t="shared" si="7"/>
        <v>182348</v>
      </c>
      <c r="J39" s="64">
        <f t="shared" si="7"/>
        <v>-9482</v>
      </c>
      <c r="K39" s="64">
        <f t="shared" si="7"/>
        <v>-161638</v>
      </c>
      <c r="L39" s="64">
        <f t="shared" si="7"/>
        <v>8126478</v>
      </c>
      <c r="M39" s="64">
        <f>SUM(F39:L39)</f>
        <v>2300651</v>
      </c>
      <c r="N39" s="64"/>
    </row>
    <row r="40" spans="1:16" x14ac:dyDescent="0.25">
      <c r="A40" t="s">
        <v>8192</v>
      </c>
      <c r="F40" s="191">
        <f>+$L$34*'Allocator Summary'!C38</f>
        <v>6269599.9262073133</v>
      </c>
      <c r="G40" s="191">
        <f>+$L$34*'Allocator Summary'!D38</f>
        <v>1554967.8632787534</v>
      </c>
      <c r="H40" s="191">
        <f>+$L$34*'Allocator Summary'!E38</f>
        <v>123786.70124611672</v>
      </c>
      <c r="I40" s="191">
        <f>+$L$34*'Allocator Summary'!F38</f>
        <v>169873.67867043067</v>
      </c>
      <c r="J40" s="191">
        <f>+$L$34*'Allocator Summary'!G38</f>
        <v>8249.830597386499</v>
      </c>
      <c r="K40" s="191"/>
      <c r="L40" s="191">
        <f>-L39</f>
        <v>-8126478</v>
      </c>
      <c r="M40" s="201">
        <f>SUM(F40:L40)</f>
        <v>0</v>
      </c>
      <c r="N40" s="201"/>
    </row>
    <row r="41" spans="1:16" x14ac:dyDescent="0.25">
      <c r="A41" t="s">
        <v>8193</v>
      </c>
      <c r="F41" s="191">
        <f>(0.125*$K$26*'Class Allocators'!B9)+(0.125*$K$26*'Class Allocators'!B102)</f>
        <v>149207.85901641895</v>
      </c>
      <c r="G41" s="191">
        <f>(0.125*$K$26*'Class Allocators'!C9)+(0.125*$K$26*'Class Allocators'!C102)</f>
        <v>54747.583834526362</v>
      </c>
      <c r="H41" s="191">
        <f>(0.125*$K$26*'Class Allocators'!D9)+(0.125*$K$26*'Class Allocators'!D102)</f>
        <v>22158.671370657881</v>
      </c>
      <c r="I41" s="191">
        <f>(0.125*$K$26*'Class Allocators'!E9)+(0.125*$K$26*'Class Allocators'!E102)</f>
        <v>5766.9903417820969</v>
      </c>
      <c r="J41" s="191">
        <f>(0.125*$K$26*'Class Allocators'!F9)+(0.125*$K$26*'Class Allocators'!F102)</f>
        <v>289.35340635563682</v>
      </c>
      <c r="K41" s="191">
        <f>-SUM(F41:J41)</f>
        <v>-232170.45796974094</v>
      </c>
      <c r="L41" s="191"/>
      <c r="M41" s="201">
        <f>SUM(F41:L41)</f>
        <v>0</v>
      </c>
      <c r="N41" s="201"/>
    </row>
    <row r="42" spans="1:16" x14ac:dyDescent="0.25">
      <c r="A42" t="s">
        <v>8220</v>
      </c>
      <c r="F42" s="191">
        <f>-K42</f>
        <v>-393808.45796974096</v>
      </c>
      <c r="G42" s="191">
        <v>0</v>
      </c>
      <c r="H42" s="191">
        <v>0</v>
      </c>
      <c r="I42" s="191">
        <v>0</v>
      </c>
      <c r="J42" s="191">
        <v>0</v>
      </c>
      <c r="K42" s="191">
        <f>-(K39+K41)</f>
        <v>393808.45796974096</v>
      </c>
      <c r="L42" s="191">
        <v>0</v>
      </c>
      <c r="M42" s="201">
        <f>SUM(F42:L42)</f>
        <v>0</v>
      </c>
      <c r="N42" s="201"/>
    </row>
    <row r="43" spans="1:16" x14ac:dyDescent="0.25">
      <c r="A43" t="s">
        <v>7175</v>
      </c>
      <c r="F43" s="64">
        <f>SUM(F38:F42)</f>
        <v>28097801.32725399</v>
      </c>
      <c r="G43" s="64">
        <f t="shared" ref="G43:L43" si="8">SUM(G38:G42)</f>
        <v>9141816.4471132811</v>
      </c>
      <c r="H43" s="64">
        <f t="shared" si="8"/>
        <v>3184572.3726167749</v>
      </c>
      <c r="I43" s="64">
        <f t="shared" si="8"/>
        <v>1304297.6690122127</v>
      </c>
      <c r="J43" s="64">
        <f t="shared" si="8"/>
        <v>47711.184003742135</v>
      </c>
      <c r="K43" s="64">
        <f t="shared" si="8"/>
        <v>1090320</v>
      </c>
      <c r="L43" s="64">
        <f t="shared" si="8"/>
        <v>0</v>
      </c>
      <c r="M43" s="64">
        <f>SUM(M38:M41)</f>
        <v>42866519</v>
      </c>
      <c r="N43" s="64"/>
    </row>
    <row r="44" spans="1:16" x14ac:dyDescent="0.25">
      <c r="A44" t="s">
        <v>7138</v>
      </c>
      <c r="F44" s="40">
        <f>(F43/F38)-1</f>
        <v>9.116107175368704E-2</v>
      </c>
      <c r="G44" s="41">
        <f>(G43/G38)-1</f>
        <v>-3.4617050163297747E-2</v>
      </c>
      <c r="H44" s="41">
        <f>(H43/H38)-1</f>
        <v>-2.3313472104793731E-2</v>
      </c>
      <c r="I44" s="41">
        <f>(I43/I38)-1</f>
        <v>0.37829997285475736</v>
      </c>
      <c r="J44" s="41">
        <f t="shared" ref="J44:K44" si="9">(J43/J38)-1</f>
        <v>-1.9377975012493609E-2</v>
      </c>
      <c r="K44" s="41">
        <f t="shared" si="9"/>
        <v>0</v>
      </c>
      <c r="L44" s="41"/>
      <c r="M44" s="41">
        <f>(M43/M38)-1</f>
        <v>5.6713959627339827E-2</v>
      </c>
      <c r="N44" s="41"/>
    </row>
    <row r="45" spans="1:16" x14ac:dyDescent="0.25">
      <c r="G45" s="202"/>
      <c r="H45" s="202"/>
      <c r="I45" s="202"/>
      <c r="J45" s="202"/>
      <c r="K45" s="202"/>
      <c r="L45" s="202"/>
      <c r="M45" s="195"/>
      <c r="N45" s="202"/>
    </row>
    <row r="46" spans="1:16" x14ac:dyDescent="0.25">
      <c r="B46" t="s">
        <v>7034</v>
      </c>
      <c r="C46" s="187">
        <f>+'Account Detail'!E467</f>
        <v>2788724.7815385228</v>
      </c>
      <c r="F46" s="179">
        <f>F26+F40+F41</f>
        <v>28491610.262288377</v>
      </c>
      <c r="G46" s="179">
        <f t="shared" ref="G46:K46" si="10">G26+G40+G41</f>
        <v>9141816.8655438367</v>
      </c>
      <c r="H46" s="179">
        <f t="shared" si="10"/>
        <v>3184572.2220625901</v>
      </c>
      <c r="I46" s="179">
        <f t="shared" si="10"/>
        <v>1304297.4892908968</v>
      </c>
      <c r="J46" s="179">
        <f t="shared" si="10"/>
        <v>47711.215689180994</v>
      </c>
      <c r="K46" s="179">
        <f t="shared" si="10"/>
        <v>696511.37390922289</v>
      </c>
      <c r="L46" s="202"/>
      <c r="M46" s="195"/>
      <c r="N46" s="202"/>
    </row>
    <row r="47" spans="1:16" x14ac:dyDescent="0.25">
      <c r="F47" s="40">
        <f>(F46/F30)-1</f>
        <v>0.10645440287997321</v>
      </c>
      <c r="G47" s="40">
        <f t="shared" ref="G47:K47" si="11">(G46/G30)-1</f>
        <v>-3.4617005976704585E-2</v>
      </c>
      <c r="H47" s="40">
        <f t="shared" si="11"/>
        <v>-2.3313518278730738E-2</v>
      </c>
      <c r="I47" s="40">
        <f t="shared" si="11"/>
        <v>0.37829978293654265</v>
      </c>
      <c r="J47" s="40">
        <f t="shared" si="11"/>
        <v>-1.9377323772331256E-2</v>
      </c>
      <c r="K47" s="40">
        <f t="shared" si="11"/>
        <v>-0.36118628117504692</v>
      </c>
      <c r="L47" s="202"/>
      <c r="M47" s="195"/>
      <c r="N47" s="202"/>
    </row>
    <row r="48" spans="1:16" x14ac:dyDescent="0.25">
      <c r="F48" s="54"/>
      <c r="G48" s="54"/>
      <c r="H48" s="54"/>
      <c r="I48" s="54"/>
      <c r="J48" s="54"/>
      <c r="K48" s="54"/>
      <c r="L48" s="54"/>
      <c r="M48" s="54"/>
      <c r="N48" s="54"/>
    </row>
    <row r="53" spans="3:3" x14ac:dyDescent="0.25">
      <c r="C53" s="201"/>
    </row>
  </sheetData>
  <printOptions horizontalCentered="1"/>
  <pageMargins left="0.7" right="0.7" top="1" bottom="0.5" header="0.3" footer="0.3"/>
  <pageSetup scale="56" orientation="landscape" r:id="rId1"/>
  <headerFooter>
    <oddHeader>&amp;RSchedule CBR-1
NJAWC Claqss Cost of Service Study
Tab: &amp;A
Page &amp;P of &amp;N</oddHeader>
  </headerFooter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2:L365"/>
  <sheetViews>
    <sheetView zoomScale="90" zoomScaleNormal="90" workbookViewId="0">
      <pane ySplit="4" topLeftCell="A5" activePane="bottomLeft" state="frozen"/>
      <selection activeCell="B6" sqref="B6"/>
      <selection pane="bottomLeft" activeCell="B6" sqref="B6"/>
    </sheetView>
  </sheetViews>
  <sheetFormatPr defaultColWidth="9.140625" defaultRowHeight="15" x14ac:dyDescent="0.25"/>
  <cols>
    <col min="1" max="1" customWidth="true" style="2" width="4.5703125" collapsed="false"/>
    <col min="2" max="2" bestFit="true" customWidth="true" style="11" width="21.140625" collapsed="false"/>
    <col min="3" max="3" bestFit="true" customWidth="true" style="2" width="13.42578125" collapsed="false"/>
    <col min="4" max="4" bestFit="true" customWidth="true" style="2" width="64.140625" collapsed="false"/>
    <col min="5" max="5" bestFit="true" customWidth="true" style="35" width="20.28515625" collapsed="false"/>
    <col min="6" max="6" bestFit="true" customWidth="true" style="2" width="15.5703125" collapsed="false"/>
    <col min="7" max="7" customWidth="true" style="2" width="12.7109375" collapsed="false"/>
    <col min="8" max="8" customWidth="true" style="2" width="5.7109375" collapsed="false"/>
    <col min="9" max="9" bestFit="true" customWidth="true" style="57" width="27.7109375" collapsed="false"/>
    <col min="10" max="10" customWidth="true" style="57" width="37.42578125" collapsed="false"/>
    <col min="11" max="11" bestFit="true" customWidth="true" style="57" width="50.0" collapsed="false"/>
    <col min="12" max="16384" style="2" width="9.140625" collapsed="false"/>
  </cols>
  <sheetData>
    <row r="2" spans="1:11" x14ac:dyDescent="0.25">
      <c r="A2" s="1" t="s">
        <v>7563</v>
      </c>
      <c r="B2" s="39"/>
      <c r="C2" s="1"/>
    </row>
    <row r="3" spans="1:11" x14ac:dyDescent="0.25">
      <c r="A3" s="210" t="s">
        <v>7972</v>
      </c>
    </row>
    <row r="5" spans="1:11" x14ac:dyDescent="0.25">
      <c r="B5" s="39"/>
      <c r="C5" s="1"/>
      <c r="D5" s="1"/>
      <c r="E5" s="1"/>
      <c r="F5" s="233"/>
      <c r="G5" s="39"/>
      <c r="H5" s="209"/>
      <c r="I5" s="331"/>
      <c r="J5" s="332"/>
      <c r="K5" s="332"/>
    </row>
    <row r="6" spans="1:11" x14ac:dyDescent="0.25">
      <c r="B6" s="219" t="s">
        <v>7565</v>
      </c>
      <c r="C6" s="219" t="s">
        <v>6920</v>
      </c>
      <c r="D6" s="220" t="s">
        <v>7566</v>
      </c>
      <c r="E6" s="219" t="s">
        <v>7153</v>
      </c>
      <c r="F6" s="221" t="s">
        <v>6990</v>
      </c>
      <c r="G6" s="221"/>
      <c r="H6" s="211"/>
      <c r="I6" s="333" t="s">
        <v>6879</v>
      </c>
      <c r="J6" s="334" t="s">
        <v>6880</v>
      </c>
      <c r="K6" s="334" t="s">
        <v>7564</v>
      </c>
    </row>
    <row r="7" spans="1:11" x14ac:dyDescent="0.25">
      <c r="B7" s="218" t="s">
        <v>5034</v>
      </c>
      <c r="C7" s="214" t="s">
        <v>7429</v>
      </c>
      <c r="D7" s="214" t="s">
        <v>7568</v>
      </c>
      <c r="E7" s="215">
        <f t="shared" ref="E7:E70" si="0">SUM(F7:G7)</f>
        <v>25750370</v>
      </c>
      <c r="F7" s="215">
        <v>25750370</v>
      </c>
      <c r="G7" s="215"/>
      <c r="H7" s="216"/>
      <c r="I7" s="335" t="str">
        <f>IFERROR(VLOOKUP($B7,'IA NARUC Table'!$B:$G,4,FALSE),"")</f>
        <v>Revenues-Water</v>
      </c>
      <c r="J7" s="336" t="str">
        <f>IFERROR(VLOOKUP($B7,'IA NARUC Table'!$B:$G,5,FALSE),"")</f>
        <v>Residential</v>
      </c>
      <c r="K7" s="336" t="s">
        <v>7567</v>
      </c>
    </row>
    <row r="8" spans="1:11" x14ac:dyDescent="0.25">
      <c r="B8" s="218" t="s">
        <v>5032</v>
      </c>
      <c r="C8" s="214" t="s">
        <v>7429</v>
      </c>
      <c r="D8" s="214" t="s">
        <v>7569</v>
      </c>
      <c r="E8" s="216">
        <f t="shared" si="0"/>
        <v>0</v>
      </c>
      <c r="F8" s="215">
        <v>0</v>
      </c>
      <c r="G8" s="215"/>
      <c r="H8" s="216"/>
      <c r="I8" s="335" t="str">
        <f>IFERROR(VLOOKUP($B8,'IA NARUC Table'!$B:$G,4,FALSE),"")</f>
        <v>Revenues-Water</v>
      </c>
      <c r="J8" s="336" t="str">
        <f>IFERROR(VLOOKUP($B8,'IA NARUC Table'!$B:$G,5,FALSE),"")</f>
        <v>Residential</v>
      </c>
      <c r="K8" s="336" t="s">
        <v>7567</v>
      </c>
    </row>
    <row r="9" spans="1:11" x14ac:dyDescent="0.25">
      <c r="B9" s="218" t="s">
        <v>5030</v>
      </c>
      <c r="C9" s="214" t="s">
        <v>7429</v>
      </c>
      <c r="D9" s="214" t="s">
        <v>7570</v>
      </c>
      <c r="E9" s="216">
        <f t="shared" si="0"/>
        <v>0</v>
      </c>
      <c r="F9" s="215">
        <v>0</v>
      </c>
      <c r="G9" s="215"/>
      <c r="H9" s="216"/>
      <c r="I9" s="335" t="str">
        <f>IFERROR(VLOOKUP($B9,'IA NARUC Table'!$B:$G,4,FALSE),"")</f>
        <v>Revenues-Water</v>
      </c>
      <c r="J9" s="336" t="str">
        <f>IFERROR(VLOOKUP($B9,'IA NARUC Table'!$B:$G,5,FALSE),"")</f>
        <v>Residential</v>
      </c>
      <c r="K9" s="336" t="s">
        <v>7567</v>
      </c>
    </row>
    <row r="10" spans="1:11" x14ac:dyDescent="0.25">
      <c r="B10" s="218" t="s">
        <v>5026</v>
      </c>
      <c r="C10" s="214" t="s">
        <v>7429</v>
      </c>
      <c r="D10" s="214" t="s">
        <v>7571</v>
      </c>
      <c r="E10" s="216">
        <f t="shared" si="0"/>
        <v>0</v>
      </c>
      <c r="F10" s="215">
        <v>0</v>
      </c>
      <c r="G10" s="215"/>
      <c r="H10" s="216"/>
      <c r="I10" s="335" t="str">
        <f>IFERROR(VLOOKUP($B10,'IA NARUC Table'!$B:$G,4,FALSE),"")</f>
        <v>Revenues-Water</v>
      </c>
      <c r="J10" s="336" t="str">
        <f>IFERROR(VLOOKUP($B10,'IA NARUC Table'!$B:$G,5,FALSE),"")</f>
        <v>Residential</v>
      </c>
      <c r="K10" s="336" t="s">
        <v>7567</v>
      </c>
    </row>
    <row r="11" spans="1:11" x14ac:dyDescent="0.25">
      <c r="B11" s="218" t="s">
        <v>5025</v>
      </c>
      <c r="C11" s="214" t="s">
        <v>7431</v>
      </c>
      <c r="D11" s="214" t="s">
        <v>7573</v>
      </c>
      <c r="E11" s="216">
        <f t="shared" si="0"/>
        <v>9469627</v>
      </c>
      <c r="F11" s="215">
        <v>9469627</v>
      </c>
      <c r="G11" s="215"/>
      <c r="H11" s="216"/>
      <c r="I11" s="335" t="str">
        <f>IFERROR(VLOOKUP($B11,'IA NARUC Table'!$B:$G,4,FALSE),"")</f>
        <v>Revenues-Water</v>
      </c>
      <c r="J11" s="336" t="str">
        <f>IFERROR(VLOOKUP($B11,'IA NARUC Table'!$B:$G,5,FALSE),"")</f>
        <v>Commercial</v>
      </c>
      <c r="K11" s="336" t="s">
        <v>7572</v>
      </c>
    </row>
    <row r="12" spans="1:11" x14ac:dyDescent="0.25">
      <c r="B12" s="218" t="s">
        <v>5023</v>
      </c>
      <c r="C12" s="214" t="s">
        <v>7431</v>
      </c>
      <c r="D12" s="214" t="s">
        <v>7574</v>
      </c>
      <c r="E12" s="216">
        <f t="shared" si="0"/>
        <v>0</v>
      </c>
      <c r="F12" s="215">
        <v>0</v>
      </c>
      <c r="G12" s="215"/>
      <c r="H12" s="216"/>
      <c r="I12" s="335" t="str">
        <f>IFERROR(VLOOKUP($B12,'IA NARUC Table'!$B:$G,4,FALSE),"")</f>
        <v>Revenues-Water</v>
      </c>
      <c r="J12" s="336" t="str">
        <f>IFERROR(VLOOKUP($B12,'IA NARUC Table'!$B:$G,5,FALSE),"")</f>
        <v>Commercial</v>
      </c>
      <c r="K12" s="336" t="s">
        <v>7572</v>
      </c>
    </row>
    <row r="13" spans="1:11" x14ac:dyDescent="0.25">
      <c r="B13" s="218" t="s">
        <v>5019</v>
      </c>
      <c r="C13" s="214" t="s">
        <v>7431</v>
      </c>
      <c r="D13" s="214" t="s">
        <v>7575</v>
      </c>
      <c r="E13" s="216">
        <f t="shared" si="0"/>
        <v>0</v>
      </c>
      <c r="F13" s="215">
        <v>0</v>
      </c>
      <c r="G13" s="215"/>
      <c r="H13" s="216"/>
      <c r="I13" s="335" t="str">
        <f>IFERROR(VLOOKUP($B13,'IA NARUC Table'!$B:$G,4,FALSE),"")</f>
        <v>Revenues-Water</v>
      </c>
      <c r="J13" s="336" t="str">
        <f>IFERROR(VLOOKUP($B13,'IA NARUC Table'!$B:$G,5,FALSE),"")</f>
        <v>Commercial</v>
      </c>
      <c r="K13" s="336" t="s">
        <v>7572</v>
      </c>
    </row>
    <row r="14" spans="1:11" x14ac:dyDescent="0.25">
      <c r="B14" s="218" t="s">
        <v>5018</v>
      </c>
      <c r="C14" s="214" t="s">
        <v>7432</v>
      </c>
      <c r="D14" s="214" t="s">
        <v>7577</v>
      </c>
      <c r="E14" s="216">
        <f t="shared" si="0"/>
        <v>3260588</v>
      </c>
      <c r="F14" s="215">
        <v>3260588</v>
      </c>
      <c r="G14" s="215"/>
      <c r="H14" s="216"/>
      <c r="I14" s="335" t="str">
        <f>IFERROR(VLOOKUP($B14,'IA NARUC Table'!$B:$G,4,FALSE),"")</f>
        <v>Revenues-Water</v>
      </c>
      <c r="J14" s="336" t="str">
        <f>IFERROR(VLOOKUP($B14,'IA NARUC Table'!$B:$G,5,FALSE),"")</f>
        <v>Industrial</v>
      </c>
      <c r="K14" s="336" t="s">
        <v>7576</v>
      </c>
    </row>
    <row r="15" spans="1:11" x14ac:dyDescent="0.25">
      <c r="B15" s="218" t="s">
        <v>5016</v>
      </c>
      <c r="C15" s="214" t="s">
        <v>7432</v>
      </c>
      <c r="D15" s="214" t="s">
        <v>7578</v>
      </c>
      <c r="E15" s="216">
        <f t="shared" si="0"/>
        <v>0</v>
      </c>
      <c r="F15" s="215">
        <v>0</v>
      </c>
      <c r="G15" s="215"/>
      <c r="H15" s="216"/>
      <c r="I15" s="335" t="str">
        <f>IFERROR(VLOOKUP($B15,'IA NARUC Table'!$B:$G,4,FALSE),"")</f>
        <v>Revenues-Water</v>
      </c>
      <c r="J15" s="336" t="str">
        <f>IFERROR(VLOOKUP($B15,'IA NARUC Table'!$B:$G,5,FALSE),"")</f>
        <v>Industrial</v>
      </c>
      <c r="K15" s="336" t="s">
        <v>7576</v>
      </c>
    </row>
    <row r="16" spans="1:11" x14ac:dyDescent="0.25">
      <c r="B16" s="218" t="s">
        <v>5013</v>
      </c>
      <c r="C16" s="214" t="s">
        <v>7432</v>
      </c>
      <c r="D16" s="214" t="s">
        <v>7579</v>
      </c>
      <c r="E16" s="216">
        <f t="shared" si="0"/>
        <v>0</v>
      </c>
      <c r="F16" s="215">
        <v>0</v>
      </c>
      <c r="G16" s="215"/>
      <c r="H16" s="216"/>
      <c r="I16" s="335" t="str">
        <f>IFERROR(VLOOKUP($B16,'IA NARUC Table'!$B:$G,4,FALSE),"")</f>
        <v>Revenues-Water</v>
      </c>
      <c r="J16" s="336" t="str">
        <f>IFERROR(VLOOKUP($B16,'IA NARUC Table'!$B:$G,5,FALSE),"")</f>
        <v>Industrial</v>
      </c>
      <c r="K16" s="336" t="s">
        <v>7576</v>
      </c>
    </row>
    <row r="17" spans="2:11" x14ac:dyDescent="0.25">
      <c r="B17" s="218" t="s">
        <v>5005</v>
      </c>
      <c r="C17" s="214" t="s">
        <v>7433</v>
      </c>
      <c r="D17" s="214" t="s">
        <v>7581</v>
      </c>
      <c r="E17" s="216">
        <f t="shared" si="0"/>
        <v>0</v>
      </c>
      <c r="F17" s="215">
        <v>0</v>
      </c>
      <c r="G17" s="215"/>
      <c r="H17" s="216"/>
      <c r="I17" s="335" t="str">
        <f>IFERROR(VLOOKUP($B17,'IA NARUC Table'!$B:$G,4,FALSE),"")</f>
        <v>Revenues-Water</v>
      </c>
      <c r="J17" s="336" t="str">
        <f>IFERROR(VLOOKUP($B17,'IA NARUC Table'!$B:$G,5,FALSE),"")</f>
        <v>Public Fire</v>
      </c>
      <c r="K17" s="336" t="s">
        <v>7580</v>
      </c>
    </row>
    <row r="18" spans="2:11" x14ac:dyDescent="0.25">
      <c r="B18" s="218" t="s">
        <v>5004</v>
      </c>
      <c r="C18" s="214" t="s">
        <v>7434</v>
      </c>
      <c r="D18" s="214" t="s">
        <v>7583</v>
      </c>
      <c r="E18" s="216">
        <f t="shared" si="0"/>
        <v>1090320</v>
      </c>
      <c r="F18" s="215">
        <v>1090320</v>
      </c>
      <c r="G18" s="215"/>
      <c r="H18" s="216"/>
      <c r="I18" s="335" t="str">
        <f>IFERROR(VLOOKUP($B18,'IA NARUC Table'!$B:$G,4,FALSE),"")</f>
        <v>Revenues-Water</v>
      </c>
      <c r="J18" s="336" t="str">
        <f>IFERROR(VLOOKUP($B18,'IA NARUC Table'!$B:$G,5,FALSE),"")</f>
        <v>Private Fire</v>
      </c>
      <c r="K18" s="336" t="s">
        <v>7582</v>
      </c>
    </row>
    <row r="19" spans="2:11" x14ac:dyDescent="0.25">
      <c r="B19" s="218" t="s">
        <v>5003</v>
      </c>
      <c r="C19" s="214" t="s">
        <v>7434</v>
      </c>
      <c r="D19" s="214" t="s">
        <v>7584</v>
      </c>
      <c r="E19" s="216">
        <f t="shared" si="0"/>
        <v>0</v>
      </c>
      <c r="F19" s="215">
        <v>0</v>
      </c>
      <c r="G19" s="215"/>
      <c r="H19" s="216"/>
      <c r="I19" s="335" t="str">
        <f>IFERROR(VLOOKUP($B19,'IA NARUC Table'!$B:$G,4,FALSE),"")</f>
        <v>Revenues-Water</v>
      </c>
      <c r="J19" s="336" t="str">
        <f>IFERROR(VLOOKUP($B19,'IA NARUC Table'!$B:$G,5,FALSE),"")</f>
        <v>Private Fire</v>
      </c>
      <c r="K19" s="336" t="s">
        <v>7582</v>
      </c>
    </row>
    <row r="20" spans="2:11" x14ac:dyDescent="0.25">
      <c r="B20" s="218" t="s">
        <v>5002</v>
      </c>
      <c r="C20" s="214" t="s">
        <v>7434</v>
      </c>
      <c r="D20" s="214" t="s">
        <v>7585</v>
      </c>
      <c r="E20" s="216">
        <f t="shared" si="0"/>
        <v>0</v>
      </c>
      <c r="F20" s="215">
        <v>0</v>
      </c>
      <c r="G20" s="215"/>
      <c r="H20" s="216"/>
      <c r="I20" s="335" t="str">
        <f>IFERROR(VLOOKUP($B20,'IA NARUC Table'!$B:$G,4,FALSE),"")</f>
        <v>Revenues-Water</v>
      </c>
      <c r="J20" s="336" t="str">
        <f>IFERROR(VLOOKUP($B20,'IA NARUC Table'!$B:$G,5,FALSE),"")</f>
        <v>Private Fire</v>
      </c>
      <c r="K20" s="336" t="s">
        <v>7582</v>
      </c>
    </row>
    <row r="21" spans="2:11" x14ac:dyDescent="0.25">
      <c r="B21" s="218" t="s">
        <v>4999</v>
      </c>
      <c r="C21" s="214" t="s">
        <v>7434</v>
      </c>
      <c r="D21" s="214" t="s">
        <v>7586</v>
      </c>
      <c r="E21" s="216">
        <f t="shared" si="0"/>
        <v>0</v>
      </c>
      <c r="F21" s="215">
        <v>0</v>
      </c>
      <c r="G21" s="215"/>
      <c r="H21" s="216"/>
      <c r="I21" s="335" t="str">
        <f>IFERROR(VLOOKUP($B21,'IA NARUC Table'!$B:$G,4,FALSE),"")</f>
        <v>Revenues-Water</v>
      </c>
      <c r="J21" s="336" t="str">
        <f>IFERROR(VLOOKUP($B21,'IA NARUC Table'!$B:$G,5,FALSE),"")</f>
        <v>Private Fire</v>
      </c>
      <c r="K21" s="336" t="s">
        <v>7582</v>
      </c>
    </row>
    <row r="22" spans="2:11" x14ac:dyDescent="0.25">
      <c r="B22" s="218" t="s">
        <v>4998</v>
      </c>
      <c r="C22" s="214" t="s">
        <v>7435</v>
      </c>
      <c r="D22" s="214" t="s">
        <v>7588</v>
      </c>
      <c r="E22" s="216">
        <f t="shared" si="0"/>
        <v>946309</v>
      </c>
      <c r="F22" s="215">
        <v>946309</v>
      </c>
      <c r="G22" s="215"/>
      <c r="H22" s="216"/>
      <c r="I22" s="335" t="str">
        <f>IFERROR(VLOOKUP($B22,'IA NARUC Table'!$B:$G,4,FALSE),"")</f>
        <v>Revenues-Water</v>
      </c>
      <c r="J22" s="336" t="str">
        <f>IFERROR(VLOOKUP($B22,'IA NARUC Table'!$B:$G,5,FALSE),"")</f>
        <v>Public Authority</v>
      </c>
      <c r="K22" s="336" t="s">
        <v>7587</v>
      </c>
    </row>
    <row r="23" spans="2:11" x14ac:dyDescent="0.25">
      <c r="B23" s="218" t="s">
        <v>4997</v>
      </c>
      <c r="C23" s="214" t="s">
        <v>7435</v>
      </c>
      <c r="D23" s="214" t="s">
        <v>7589</v>
      </c>
      <c r="E23" s="216">
        <f t="shared" si="0"/>
        <v>0</v>
      </c>
      <c r="F23" s="215">
        <v>0</v>
      </c>
      <c r="G23" s="215"/>
      <c r="H23" s="216"/>
      <c r="I23" s="335" t="str">
        <f>IFERROR(VLOOKUP($B23,'IA NARUC Table'!$B:$G,4,FALSE),"")</f>
        <v>Revenues-Water</v>
      </c>
      <c r="J23" s="336" t="str">
        <f>IFERROR(VLOOKUP($B23,'IA NARUC Table'!$B:$G,5,FALSE),"")</f>
        <v>Public Authority</v>
      </c>
      <c r="K23" s="336" t="s">
        <v>7587</v>
      </c>
    </row>
    <row r="24" spans="2:11" x14ac:dyDescent="0.25">
      <c r="B24" s="218" t="s">
        <v>4996</v>
      </c>
      <c r="C24" s="214" t="s">
        <v>7435</v>
      </c>
      <c r="D24" s="214" t="s">
        <v>7590</v>
      </c>
      <c r="E24" s="216">
        <f t="shared" si="0"/>
        <v>0</v>
      </c>
      <c r="F24" s="215">
        <v>0</v>
      </c>
      <c r="G24" s="215"/>
      <c r="H24" s="216"/>
      <c r="I24" s="335" t="str">
        <f>IFERROR(VLOOKUP($B24,'IA NARUC Table'!$B:$G,4,FALSE),"")</f>
        <v>Revenues-Water</v>
      </c>
      <c r="J24" s="336" t="str">
        <f>IFERROR(VLOOKUP($B24,'IA NARUC Table'!$B:$G,5,FALSE),"")</f>
        <v>Public Authority</v>
      </c>
      <c r="K24" s="336" t="s">
        <v>7587</v>
      </c>
    </row>
    <row r="25" spans="2:11" x14ac:dyDescent="0.25">
      <c r="B25" s="218" t="s">
        <v>4993</v>
      </c>
      <c r="C25" s="214" t="s">
        <v>7435</v>
      </c>
      <c r="D25" s="214" t="s">
        <v>7591</v>
      </c>
      <c r="E25" s="216">
        <f t="shared" si="0"/>
        <v>0</v>
      </c>
      <c r="F25" s="215">
        <v>0</v>
      </c>
      <c r="G25" s="215"/>
      <c r="H25" s="216"/>
      <c r="I25" s="335" t="str">
        <f>IFERROR(VLOOKUP($B25,'IA NARUC Table'!$B:$G,4,FALSE),"")</f>
        <v>Revenues-Water</v>
      </c>
      <c r="J25" s="336" t="str">
        <f>IFERROR(VLOOKUP($B25,'IA NARUC Table'!$B:$G,5,FALSE),"")</f>
        <v>Public Authority</v>
      </c>
      <c r="K25" s="336" t="s">
        <v>7587</v>
      </c>
    </row>
    <row r="26" spans="2:11" x14ac:dyDescent="0.25">
      <c r="B26" s="218" t="s">
        <v>4984</v>
      </c>
      <c r="C26" s="214" t="s">
        <v>7438</v>
      </c>
      <c r="D26" s="214" t="s">
        <v>7593</v>
      </c>
      <c r="E26" s="216">
        <f t="shared" si="0"/>
        <v>48654</v>
      </c>
      <c r="F26" s="215">
        <v>48654</v>
      </c>
      <c r="G26" s="215"/>
      <c r="H26" s="216"/>
      <c r="I26" s="335" t="str">
        <f>IFERROR(VLOOKUP($B26,'IA NARUC Table'!$B:$G,4,FALSE),"")</f>
        <v>Revenues-Water</v>
      </c>
      <c r="J26" s="336" t="str">
        <f>IFERROR(VLOOKUP($B26,'IA NARUC Table'!$B:$G,5,FALSE),"")</f>
        <v>Miscellaneous</v>
      </c>
      <c r="K26" s="336" t="s">
        <v>7592</v>
      </c>
    </row>
    <row r="27" spans="2:11" x14ac:dyDescent="0.25">
      <c r="B27" s="218" t="s">
        <v>4980</v>
      </c>
      <c r="C27" s="214" t="s">
        <v>7438</v>
      </c>
      <c r="D27" s="214" t="s">
        <v>7594</v>
      </c>
      <c r="E27" s="216">
        <f t="shared" si="0"/>
        <v>0</v>
      </c>
      <c r="F27" s="215">
        <v>0</v>
      </c>
      <c r="G27" s="215"/>
      <c r="H27" s="216"/>
      <c r="I27" s="335" t="str">
        <f>IFERROR(VLOOKUP($B27,'IA NARUC Table'!$B:$G,4,FALSE),"")</f>
        <v>Revenues-Water</v>
      </c>
      <c r="J27" s="336" t="str">
        <f>IFERROR(VLOOKUP($B27,'IA NARUC Table'!$B:$G,5,FALSE),"")</f>
        <v>Miscellaneous</v>
      </c>
      <c r="K27" s="336" t="s">
        <v>7592</v>
      </c>
    </row>
    <row r="28" spans="2:11" x14ac:dyDescent="0.25">
      <c r="B28" s="218" t="s">
        <v>4977</v>
      </c>
      <c r="C28" s="214" t="s">
        <v>7438</v>
      </c>
      <c r="D28" s="214" t="s">
        <v>7595</v>
      </c>
      <c r="E28" s="216">
        <f t="shared" si="0"/>
        <v>0</v>
      </c>
      <c r="F28" s="215">
        <v>0</v>
      </c>
      <c r="G28" s="215"/>
      <c r="H28" s="216"/>
      <c r="I28" s="335" t="str">
        <f>IFERROR(VLOOKUP($B28,'IA NARUC Table'!$B:$G,4,FALSE),"")</f>
        <v>Revenues-Water</v>
      </c>
      <c r="J28" s="336" t="str">
        <f>IFERROR(VLOOKUP($B28,'IA NARUC Table'!$B:$G,5,FALSE),"")</f>
        <v>Miscellaneous</v>
      </c>
      <c r="K28" s="336" t="s">
        <v>7592</v>
      </c>
    </row>
    <row r="29" spans="2:11" x14ac:dyDescent="0.25">
      <c r="B29" s="218" t="s">
        <v>4972</v>
      </c>
      <c r="C29" s="214" t="s">
        <v>7438</v>
      </c>
      <c r="D29" s="214" t="s">
        <v>7596</v>
      </c>
      <c r="E29" s="216">
        <f t="shared" si="0"/>
        <v>0</v>
      </c>
      <c r="F29" s="215">
        <v>0</v>
      </c>
      <c r="G29" s="215"/>
      <c r="H29" s="216"/>
      <c r="I29" s="335" t="str">
        <f>IFERROR(VLOOKUP($B29,'IA NARUC Table'!$B:$G,4,FALSE),"")</f>
        <v>Revenues-Water</v>
      </c>
      <c r="J29" s="336" t="str">
        <f>IFERROR(VLOOKUP($B29,'IA NARUC Table'!$B:$G,5,FALSE),"")</f>
        <v>Miscellaneous</v>
      </c>
      <c r="K29" s="336" t="s">
        <v>7592</v>
      </c>
    </row>
    <row r="30" spans="2:11" x14ac:dyDescent="0.25">
      <c r="B30" s="218" t="s">
        <v>4945</v>
      </c>
      <c r="C30" s="214" t="s">
        <v>7444</v>
      </c>
      <c r="D30" s="214" t="s">
        <v>7598</v>
      </c>
      <c r="E30" s="216">
        <f t="shared" si="0"/>
        <v>0</v>
      </c>
      <c r="F30" s="215">
        <v>0</v>
      </c>
      <c r="G30" s="215"/>
      <c r="H30" s="216"/>
      <c r="I30" s="335" t="str">
        <f>IFERROR(VLOOKUP($B30,'IA NARUC Table'!$B:$G,4,FALSE),"")</f>
        <v>Revenues-WW</v>
      </c>
      <c r="J30" s="336" t="str">
        <f>IFERROR(VLOOKUP($B30,'IA NARUC Table'!$B:$G,5,FALSE),"")</f>
        <v>Public Authority-WW</v>
      </c>
      <c r="K30" s="336" t="s">
        <v>7597</v>
      </c>
    </row>
    <row r="31" spans="2:11" x14ac:dyDescent="0.25">
      <c r="B31" s="218" t="s">
        <v>4920</v>
      </c>
      <c r="C31" s="214" t="s">
        <v>7447</v>
      </c>
      <c r="D31" s="214" t="s">
        <v>7600</v>
      </c>
      <c r="E31" s="216">
        <f t="shared" si="0"/>
        <v>246138</v>
      </c>
      <c r="F31" s="215">
        <v>246138</v>
      </c>
      <c r="G31" s="215"/>
      <c r="H31" s="216"/>
      <c r="I31" s="335" t="str">
        <f>IFERROR(VLOOKUP($B31,'IA NARUC Table'!$B:$G,4,FALSE),"")</f>
        <v>Revenues-Water</v>
      </c>
      <c r="J31" s="336" t="str">
        <f>IFERROR(VLOOKUP($B31,'IA NARUC Table'!$B:$G,5,FALSE),"")</f>
        <v>Customer Related</v>
      </c>
      <c r="K31" s="336" t="s">
        <v>7599</v>
      </c>
    </row>
    <row r="32" spans="2:11" x14ac:dyDescent="0.25">
      <c r="B32" s="218" t="s">
        <v>4919</v>
      </c>
      <c r="C32" s="214" t="s">
        <v>7441</v>
      </c>
      <c r="D32" s="214" t="s">
        <v>7601</v>
      </c>
      <c r="E32" s="216">
        <f t="shared" si="0"/>
        <v>259892</v>
      </c>
      <c r="F32" s="215">
        <v>259892</v>
      </c>
      <c r="G32" s="215"/>
      <c r="H32" s="216"/>
      <c r="I32" s="335" t="str">
        <f>IFERROR(VLOOKUP($B32,'IA NARUC Table'!$B:$G,4,FALSE),"")</f>
        <v>Revenues-Water</v>
      </c>
      <c r="J32" s="336" t="str">
        <f>IFERROR(VLOOKUP($B32,'IA NARUC Table'!$B:$G,5,FALSE),"")</f>
        <v>Rent</v>
      </c>
      <c r="K32" s="336" t="s">
        <v>7599</v>
      </c>
    </row>
    <row r="33" spans="2:11" x14ac:dyDescent="0.25">
      <c r="B33" s="218" t="s">
        <v>4918</v>
      </c>
      <c r="C33" s="214" t="s">
        <v>7448</v>
      </c>
      <c r="D33" s="214" t="s">
        <v>7602</v>
      </c>
      <c r="E33" s="216">
        <f t="shared" si="0"/>
        <v>6497</v>
      </c>
      <c r="F33" s="215">
        <v>6497</v>
      </c>
      <c r="G33" s="215"/>
      <c r="H33" s="216"/>
      <c r="I33" s="335" t="str">
        <f>IFERROR(VLOOKUP($B33,'IA NARUC Table'!$B:$G,4,FALSE),"")</f>
        <v>Revenues-Water</v>
      </c>
      <c r="J33" s="336" t="str">
        <f>IFERROR(VLOOKUP($B33,'IA NARUC Table'!$B:$G,5,FALSE),"")</f>
        <v>Rent</v>
      </c>
      <c r="K33" s="336" t="s">
        <v>7599</v>
      </c>
    </row>
    <row r="34" spans="2:11" x14ac:dyDescent="0.25">
      <c r="B34" s="218" t="s">
        <v>4916</v>
      </c>
      <c r="C34" s="214" t="s">
        <v>7440</v>
      </c>
      <c r="D34" s="214" t="s">
        <v>7603</v>
      </c>
      <c r="E34" s="216">
        <f t="shared" si="0"/>
        <v>19017</v>
      </c>
      <c r="F34" s="215">
        <v>19017</v>
      </c>
      <c r="G34" s="215"/>
      <c r="H34" s="216"/>
      <c r="I34" s="335" t="str">
        <f>IFERROR(VLOOKUP($B34,'IA NARUC Table'!$B:$G,4,FALSE),"")</f>
        <v>Revenues-Water</v>
      </c>
      <c r="J34" s="336" t="str">
        <f>IFERROR(VLOOKUP($B34,'IA NARUC Table'!$B:$G,5,FALSE),"")</f>
        <v>Customer Related</v>
      </c>
      <c r="K34" s="336" t="s">
        <v>7599</v>
      </c>
    </row>
    <row r="35" spans="2:11" x14ac:dyDescent="0.25">
      <c r="B35" s="218" t="s">
        <v>4915</v>
      </c>
      <c r="C35" s="214" t="s">
        <v>7440</v>
      </c>
      <c r="D35" s="214" t="s">
        <v>7604</v>
      </c>
      <c r="E35" s="216">
        <f t="shared" si="0"/>
        <v>246928</v>
      </c>
      <c r="F35" s="215">
        <v>246928</v>
      </c>
      <c r="G35" s="215"/>
      <c r="H35" s="216"/>
      <c r="I35" s="335" t="str">
        <f>IFERROR(VLOOKUP($B35,'IA NARUC Table'!$B:$G,4,FALSE),"")</f>
        <v>Revenues-Water</v>
      </c>
      <c r="J35" s="336" t="str">
        <f>IFERROR(VLOOKUP($B35,'IA NARUC Table'!$B:$G,5,FALSE),"")</f>
        <v>Customer Related</v>
      </c>
      <c r="K35" s="336" t="s">
        <v>7599</v>
      </c>
    </row>
    <row r="36" spans="2:11" x14ac:dyDescent="0.25">
      <c r="B36" s="218" t="s">
        <v>4914</v>
      </c>
      <c r="C36" s="214" t="s">
        <v>7440</v>
      </c>
      <c r="D36" s="214" t="s">
        <v>7605</v>
      </c>
      <c r="E36" s="216">
        <f t="shared" si="0"/>
        <v>60157</v>
      </c>
      <c r="F36" s="215">
        <v>60157</v>
      </c>
      <c r="G36" s="215"/>
      <c r="H36" s="216"/>
      <c r="I36" s="335" t="str">
        <f>IFERROR(VLOOKUP($B36,'IA NARUC Table'!$B:$G,4,FALSE),"")</f>
        <v>Revenues-Water</v>
      </c>
      <c r="J36" s="336" t="str">
        <f>IFERROR(VLOOKUP($B36,'IA NARUC Table'!$B:$G,5,FALSE),"")</f>
        <v>Customer Related</v>
      </c>
      <c r="K36" s="336" t="s">
        <v>7599</v>
      </c>
    </row>
    <row r="37" spans="2:11" x14ac:dyDescent="0.25">
      <c r="B37" s="218" t="s">
        <v>4913</v>
      </c>
      <c r="C37" s="214" t="s">
        <v>7440</v>
      </c>
      <c r="D37" s="214" t="s">
        <v>7606</v>
      </c>
      <c r="E37" s="216">
        <f t="shared" si="0"/>
        <v>110832</v>
      </c>
      <c r="F37" s="215">
        <v>110832</v>
      </c>
      <c r="G37" s="215"/>
      <c r="H37" s="216"/>
      <c r="I37" s="335" t="str">
        <f>IFERROR(VLOOKUP($B37,'IA NARUC Table'!$B:$G,4,FALSE),"")</f>
        <v>Revenues-Water</v>
      </c>
      <c r="J37" s="336" t="str">
        <f>IFERROR(VLOOKUP($B37,'IA NARUC Table'!$B:$G,5,FALSE),"")</f>
        <v>Customer Related</v>
      </c>
      <c r="K37" s="336" t="s">
        <v>7599</v>
      </c>
    </row>
    <row r="38" spans="2:11" x14ac:dyDescent="0.25">
      <c r="B38" s="218" t="s">
        <v>4912</v>
      </c>
      <c r="C38" s="214" t="s">
        <v>7440</v>
      </c>
      <c r="D38" s="214" t="s">
        <v>7607</v>
      </c>
      <c r="E38" s="216">
        <f t="shared" si="0"/>
        <v>11429</v>
      </c>
      <c r="F38" s="215">
        <v>11429</v>
      </c>
      <c r="G38" s="215"/>
      <c r="H38" s="216"/>
      <c r="I38" s="335" t="str">
        <f>IFERROR(VLOOKUP($B38,'IA NARUC Table'!$B:$G,4,FALSE),"")</f>
        <v>Revenues-Water</v>
      </c>
      <c r="J38" s="336" t="str">
        <f>IFERROR(VLOOKUP($B38,'IA NARUC Table'!$B:$G,5,FALSE),"")</f>
        <v>Customer Related</v>
      </c>
      <c r="K38" s="336" t="s">
        <v>7599</v>
      </c>
    </row>
    <row r="39" spans="2:11" x14ac:dyDescent="0.25">
      <c r="B39" s="218" t="s">
        <v>4909</v>
      </c>
      <c r="C39" s="214" t="s">
        <v>7440</v>
      </c>
      <c r="D39" s="214" t="s">
        <v>7608</v>
      </c>
      <c r="E39" s="216">
        <f t="shared" si="0"/>
        <v>4479</v>
      </c>
      <c r="F39" s="215">
        <v>4479</v>
      </c>
      <c r="G39" s="215"/>
      <c r="H39" s="216"/>
      <c r="I39" s="335" t="str">
        <f>IFERROR(VLOOKUP($B39,'IA NARUC Table'!$B:$G,4,FALSE),"")</f>
        <v>Revenues-Water</v>
      </c>
      <c r="J39" s="336" t="str">
        <f>IFERROR(VLOOKUP($B39,'IA NARUC Table'!$B:$G,5,FALSE),"")</f>
        <v>Customer Related</v>
      </c>
      <c r="K39" s="336" t="s">
        <v>7599</v>
      </c>
    </row>
    <row r="40" spans="2:11" x14ac:dyDescent="0.25">
      <c r="B40" s="218" t="s">
        <v>4908</v>
      </c>
      <c r="C40" s="214" t="s">
        <v>7440</v>
      </c>
      <c r="D40" s="214" t="s">
        <v>7609</v>
      </c>
      <c r="E40" s="216">
        <f t="shared" si="0"/>
        <v>18882</v>
      </c>
      <c r="F40" s="215">
        <v>18882</v>
      </c>
      <c r="G40" s="215"/>
      <c r="H40" s="216"/>
      <c r="I40" s="335" t="str">
        <f>IFERROR(VLOOKUP($B40,'IA NARUC Table'!$B:$G,4,FALSE),"")</f>
        <v>Revenues-Water</v>
      </c>
      <c r="J40" s="336" t="str">
        <f>IFERROR(VLOOKUP($B40,'IA NARUC Table'!$B:$G,5,FALSE),"")</f>
        <v>Customer Related</v>
      </c>
      <c r="K40" s="336" t="s">
        <v>7599</v>
      </c>
    </row>
    <row r="41" spans="2:11" x14ac:dyDescent="0.25">
      <c r="B41" s="218" t="s">
        <v>4694</v>
      </c>
      <c r="C41" s="214" t="s">
        <v>7468</v>
      </c>
      <c r="D41" s="214" t="s">
        <v>7611</v>
      </c>
      <c r="E41" s="216">
        <f t="shared" si="0"/>
        <v>170633.87469950732</v>
      </c>
      <c r="F41" s="215">
        <v>170633.87469950732</v>
      </c>
      <c r="G41" s="215"/>
      <c r="H41" s="216"/>
      <c r="I41" s="335" t="str">
        <f>IFERROR(VLOOKUP($B41,'IA NARUC Table'!$B:$G,4,FALSE),"")</f>
        <v>Operations Expense</v>
      </c>
      <c r="J41" s="336" t="str">
        <f>IFERROR(VLOOKUP($B41,'IA NARUC Table'!$B:$G,5,FALSE),"")</f>
        <v>Source of Supply</v>
      </c>
      <c r="K41" s="336" t="s">
        <v>7610</v>
      </c>
    </row>
    <row r="42" spans="2:11" x14ac:dyDescent="0.25">
      <c r="B42" s="218" t="s">
        <v>4693</v>
      </c>
      <c r="C42" s="214" t="s">
        <v>7468</v>
      </c>
      <c r="D42" s="214" t="s">
        <v>7612</v>
      </c>
      <c r="E42" s="216">
        <f t="shared" si="0"/>
        <v>1058388.400414746</v>
      </c>
      <c r="F42" s="215">
        <v>1058388.400414746</v>
      </c>
      <c r="G42" s="215"/>
      <c r="H42" s="216"/>
      <c r="I42" s="335" t="str">
        <f>IFERROR(VLOOKUP($B42,'IA NARUC Table'!$B:$G,4,FALSE),"")</f>
        <v>Operations Expense</v>
      </c>
      <c r="J42" s="336" t="str">
        <f>IFERROR(VLOOKUP($B42,'IA NARUC Table'!$B:$G,5,FALSE),"")</f>
        <v>Pumping</v>
      </c>
      <c r="K42" s="336" t="s">
        <v>7610</v>
      </c>
    </row>
    <row r="43" spans="2:11" x14ac:dyDescent="0.25">
      <c r="B43" s="218" t="s">
        <v>4691</v>
      </c>
      <c r="C43" s="214" t="s">
        <v>7470</v>
      </c>
      <c r="D43" s="214" t="s">
        <v>7613</v>
      </c>
      <c r="E43" s="216">
        <f t="shared" si="0"/>
        <v>11203.177023207281</v>
      </c>
      <c r="F43" s="215">
        <v>11203.177023207281</v>
      </c>
      <c r="G43" s="215"/>
      <c r="H43" s="216"/>
      <c r="I43" s="335" t="str">
        <f>IFERROR(VLOOKUP($B43,'IA NARUC Table'!$B:$G,4,FALSE),"")</f>
        <v>Operations Expense</v>
      </c>
      <c r="J43" s="336" t="str">
        <f>IFERROR(VLOOKUP($B43,'IA NARUC Table'!$B:$G,5,FALSE),"")</f>
        <v>General T/D</v>
      </c>
      <c r="K43" s="336" t="s">
        <v>7610</v>
      </c>
    </row>
    <row r="44" spans="2:11" x14ac:dyDescent="0.25">
      <c r="B44" s="218" t="s">
        <v>4689</v>
      </c>
      <c r="C44" s="214" t="s">
        <v>7467</v>
      </c>
      <c r="D44" s="214" t="s">
        <v>7614</v>
      </c>
      <c r="E44" s="216">
        <f t="shared" si="0"/>
        <v>2262.0414382702188</v>
      </c>
      <c r="F44" s="215">
        <v>2262.0414382702188</v>
      </c>
      <c r="G44" s="215"/>
      <c r="H44" s="216"/>
      <c r="I44" s="335" t="str">
        <f>IFERROR(VLOOKUP($B44,'IA NARUC Table'!$B:$G,4,FALSE),"")</f>
        <v>Operations Expense</v>
      </c>
      <c r="J44" s="336" t="str">
        <f>IFERROR(VLOOKUP($B44,'IA NARUC Table'!$B:$G,5,FALSE),"")</f>
        <v>Admin &amp; General</v>
      </c>
      <c r="K44" s="336" t="s">
        <v>7610</v>
      </c>
    </row>
    <row r="45" spans="2:11" x14ac:dyDescent="0.25">
      <c r="B45" s="218" t="s">
        <v>4687</v>
      </c>
      <c r="C45" s="214" t="s">
        <v>7472</v>
      </c>
      <c r="D45" s="214" t="s">
        <v>7615</v>
      </c>
      <c r="E45" s="216">
        <f t="shared" si="0"/>
        <v>4150.5064242692415</v>
      </c>
      <c r="F45" s="215">
        <v>4150.5064242692415</v>
      </c>
      <c r="G45" s="215"/>
      <c r="H45" s="216"/>
      <c r="I45" s="335" t="str">
        <f>IFERROR(VLOOKUP($B45,'IA NARUC Table'!$B:$G,4,FALSE),"")</f>
        <v>Operations Expense</v>
      </c>
      <c r="J45" s="336" t="str">
        <f>IFERROR(VLOOKUP($B45,'IA NARUC Table'!$B:$G,5,FALSE),"")</f>
        <v>Source of Supply</v>
      </c>
      <c r="K45" s="336" t="s">
        <v>7610</v>
      </c>
    </row>
    <row r="46" spans="2:11" x14ac:dyDescent="0.25">
      <c r="B46" s="218" t="s">
        <v>4686</v>
      </c>
      <c r="C46" s="214" t="s">
        <v>7473</v>
      </c>
      <c r="D46" s="214" t="s">
        <v>7616</v>
      </c>
      <c r="E46" s="216">
        <f t="shared" si="0"/>
        <v>1510528</v>
      </c>
      <c r="F46" s="215">
        <v>1510528</v>
      </c>
      <c r="G46" s="215"/>
      <c r="H46" s="216"/>
      <c r="I46" s="335" t="str">
        <f>IFERROR(VLOOKUP($B46,'IA NARUC Table'!$B:$G,4,FALSE),"")</f>
        <v>Operations Expense</v>
      </c>
      <c r="J46" s="336" t="str">
        <f>IFERROR(VLOOKUP($B46,'IA NARUC Table'!$B:$G,5,FALSE),"")</f>
        <v>Water Treatment</v>
      </c>
      <c r="K46" s="336" t="s">
        <v>12</v>
      </c>
    </row>
    <row r="47" spans="2:11" x14ac:dyDescent="0.25">
      <c r="B47" s="218" t="s">
        <v>4700</v>
      </c>
      <c r="C47" s="214" t="s">
        <v>7466</v>
      </c>
      <c r="D47" s="214" t="s">
        <v>7618</v>
      </c>
      <c r="E47" s="216">
        <f t="shared" si="0"/>
        <v>45024</v>
      </c>
      <c r="F47" s="215">
        <v>45024</v>
      </c>
      <c r="G47" s="215"/>
      <c r="H47" s="212"/>
      <c r="I47" s="335" t="str">
        <f>IFERROR(VLOOKUP($B47,'IA NARUC Table'!$B:$G,4,FALSE),"")</f>
        <v>Operations Expense</v>
      </c>
      <c r="J47" s="336" t="str">
        <f>IFERROR(VLOOKUP($B47,'IA NARUC Table'!$B:$G,5,FALSE),"")</f>
        <v>Water Treatment</v>
      </c>
      <c r="K47" s="336" t="s">
        <v>7617</v>
      </c>
    </row>
    <row r="48" spans="2:11" x14ac:dyDescent="0.25">
      <c r="B48" s="218" t="s">
        <v>4889</v>
      </c>
      <c r="C48" s="214" t="s">
        <v>7450</v>
      </c>
      <c r="D48" s="214" t="s">
        <v>7620</v>
      </c>
      <c r="E48" s="216">
        <f t="shared" si="0"/>
        <v>1541206.16</v>
      </c>
      <c r="F48" s="215">
        <v>1541206.16</v>
      </c>
      <c r="G48" s="215"/>
      <c r="H48" s="26"/>
      <c r="I48" s="335" t="str">
        <f>IFERROR(VLOOKUP($B48,'IA NARUC Table'!$B:$G,4,FALSE),"")</f>
        <v>Operations Expense</v>
      </c>
      <c r="J48" s="336" t="str">
        <f>IFERROR(VLOOKUP($B48,'IA NARUC Table'!$B:$G,5,FALSE),"")</f>
        <v>Admin &amp; General</v>
      </c>
      <c r="K48" s="336" t="s">
        <v>7619</v>
      </c>
    </row>
    <row r="49" spans="2:12" x14ac:dyDescent="0.25">
      <c r="B49" s="218" t="s">
        <v>4888</v>
      </c>
      <c r="C49" s="214" t="s">
        <v>7450</v>
      </c>
      <c r="D49" s="214" t="s">
        <v>7621</v>
      </c>
      <c r="E49" s="216">
        <f t="shared" si="0"/>
        <v>0</v>
      </c>
      <c r="F49" s="215">
        <v>0</v>
      </c>
      <c r="G49" s="215"/>
      <c r="H49" s="212"/>
      <c r="I49" s="335" t="str">
        <f>IFERROR(VLOOKUP($B49,'IA NARUC Table'!$B:$G,4,FALSE),"")</f>
        <v>Operations Expense</v>
      </c>
      <c r="J49" s="336" t="str">
        <f>IFERROR(VLOOKUP($B49,'IA NARUC Table'!$B:$G,5,FALSE),"")</f>
        <v>Admin &amp; General</v>
      </c>
      <c r="K49" s="336" t="s">
        <v>7619</v>
      </c>
    </row>
    <row r="50" spans="2:12" x14ac:dyDescent="0.25">
      <c r="B50" s="218" t="s">
        <v>4884</v>
      </c>
      <c r="C50" s="214" t="s">
        <v>7451</v>
      </c>
      <c r="D50" s="214" t="s">
        <v>7622</v>
      </c>
      <c r="E50" s="216">
        <f t="shared" si="0"/>
        <v>849560.82000000007</v>
      </c>
      <c r="F50" s="215">
        <v>849560.82000000007</v>
      </c>
      <c r="G50" s="215"/>
      <c r="H50" s="212"/>
      <c r="I50" s="335" t="str">
        <f>IFERROR(VLOOKUP($B50,'IA NARUC Table'!$B:$G,4,FALSE),"")</f>
        <v>Operations Expense</v>
      </c>
      <c r="J50" s="336" t="str">
        <f>IFERROR(VLOOKUP($B50,'IA NARUC Table'!$B:$G,5,FALSE),"")</f>
        <v>Pumping</v>
      </c>
      <c r="K50" s="336" t="s">
        <v>7619</v>
      </c>
    </row>
    <row r="51" spans="2:12" x14ac:dyDescent="0.25">
      <c r="B51" s="218" t="s">
        <v>4882</v>
      </c>
      <c r="C51" s="214" t="s">
        <v>7451</v>
      </c>
      <c r="D51" s="214" t="s">
        <v>7623</v>
      </c>
      <c r="E51" s="216">
        <f t="shared" si="0"/>
        <v>0</v>
      </c>
      <c r="F51" s="215">
        <v>0</v>
      </c>
      <c r="G51" s="215"/>
      <c r="H51" s="212"/>
      <c r="I51" s="335" t="str">
        <f>IFERROR(VLOOKUP($B51,'IA NARUC Table'!$B:$G,4,FALSE),"")</f>
        <v>Operations Expense</v>
      </c>
      <c r="J51" s="336" t="str">
        <f>IFERROR(VLOOKUP($B51,'IA NARUC Table'!$B:$G,5,FALSE),"")</f>
        <v>Pumping</v>
      </c>
      <c r="K51" s="336" t="s">
        <v>7619</v>
      </c>
    </row>
    <row r="52" spans="2:12" x14ac:dyDescent="0.25">
      <c r="B52" s="218" t="s">
        <v>4880</v>
      </c>
      <c r="C52" s="214" t="s">
        <v>7452</v>
      </c>
      <c r="D52" s="214" t="s">
        <v>7624</v>
      </c>
      <c r="E52" s="216">
        <f t="shared" si="0"/>
        <v>298194.53000000003</v>
      </c>
      <c r="F52" s="215">
        <v>298194.53000000003</v>
      </c>
      <c r="G52" s="215"/>
      <c r="H52" s="212"/>
      <c r="I52" s="335" t="str">
        <f>IFERROR(VLOOKUP($B52,'IA NARUC Table'!$B:$G,4,FALSE),"")</f>
        <v>Operations Expense</v>
      </c>
      <c r="J52" s="336" t="str">
        <f>IFERROR(VLOOKUP($B52,'IA NARUC Table'!$B:$G,5,FALSE),"")</f>
        <v>Water Treatment</v>
      </c>
      <c r="K52" s="336" t="s">
        <v>7619</v>
      </c>
    </row>
    <row r="53" spans="2:12" x14ac:dyDescent="0.25">
      <c r="B53" s="218" t="s">
        <v>4879</v>
      </c>
      <c r="C53" s="214" t="s">
        <v>7452</v>
      </c>
      <c r="D53" s="214" t="s">
        <v>7625</v>
      </c>
      <c r="E53" s="216">
        <f t="shared" si="0"/>
        <v>125.9</v>
      </c>
      <c r="F53" s="215">
        <v>125.9</v>
      </c>
      <c r="G53" s="215"/>
      <c r="H53" s="212"/>
      <c r="I53" s="335" t="str">
        <f>IFERROR(VLOOKUP($B53,'IA NARUC Table'!$B:$G,4,FALSE),"")</f>
        <v>Operations Expense</v>
      </c>
      <c r="J53" s="336" t="str">
        <f>IFERROR(VLOOKUP($B53,'IA NARUC Table'!$B:$G,5,FALSE),"")</f>
        <v>Water Treatment</v>
      </c>
      <c r="K53" s="336" t="s">
        <v>7619</v>
      </c>
    </row>
    <row r="54" spans="2:12" x14ac:dyDescent="0.25">
      <c r="B54" s="218" t="s">
        <v>4878</v>
      </c>
      <c r="C54" s="214" t="s">
        <v>7453</v>
      </c>
      <c r="D54" s="214" t="s">
        <v>7626</v>
      </c>
      <c r="E54" s="216">
        <f t="shared" si="0"/>
        <v>266868.18</v>
      </c>
      <c r="F54" s="215">
        <v>266868.18</v>
      </c>
      <c r="G54" s="215"/>
      <c r="H54" s="212"/>
      <c r="I54" s="335" t="str">
        <f>IFERROR(VLOOKUP($B54,'IA NARUC Table'!$B:$G,4,FALSE),"")</f>
        <v>Operations Expense</v>
      </c>
      <c r="J54" s="336" t="str">
        <f>IFERROR(VLOOKUP($B54,'IA NARUC Table'!$B:$G,5,FALSE),"")</f>
        <v>General T/D</v>
      </c>
      <c r="K54" s="336" t="s">
        <v>7619</v>
      </c>
    </row>
    <row r="55" spans="2:12" x14ac:dyDescent="0.25">
      <c r="B55" s="218" t="s">
        <v>4877</v>
      </c>
      <c r="C55" s="214" t="s">
        <v>7453</v>
      </c>
      <c r="D55" s="214" t="s">
        <v>7627</v>
      </c>
      <c r="E55" s="216">
        <f t="shared" si="0"/>
        <v>0</v>
      </c>
      <c r="F55" s="215">
        <v>0</v>
      </c>
      <c r="G55" s="215"/>
      <c r="H55" s="26"/>
      <c r="I55" s="335" t="str">
        <f>IFERROR(VLOOKUP($B55,'IA NARUC Table'!$B:$G,4,FALSE),"")</f>
        <v>Operations Expense</v>
      </c>
      <c r="J55" s="336" t="str">
        <f>IFERROR(VLOOKUP($B55,'IA NARUC Table'!$B:$G,5,FALSE),"")</f>
        <v>General T/D</v>
      </c>
      <c r="K55" s="336" t="s">
        <v>7619</v>
      </c>
    </row>
    <row r="56" spans="2:12" x14ac:dyDescent="0.25">
      <c r="B56" s="218" t="s">
        <v>4875</v>
      </c>
      <c r="C56" s="214" t="s">
        <v>7453</v>
      </c>
      <c r="D56" s="214" t="s">
        <v>7628</v>
      </c>
      <c r="E56" s="216">
        <f t="shared" si="0"/>
        <v>213251.05</v>
      </c>
      <c r="F56" s="215">
        <v>213251.05</v>
      </c>
      <c r="G56" s="215"/>
      <c r="H56" s="212"/>
      <c r="I56" s="335" t="str">
        <f>IFERROR(VLOOKUP($B56,'IA NARUC Table'!$B:$G,4,FALSE),"")</f>
        <v>Operations Expense</v>
      </c>
      <c r="J56" s="336" t="str">
        <f>IFERROR(VLOOKUP($B56,'IA NARUC Table'!$B:$G,5,FALSE),"")</f>
        <v>General Mains</v>
      </c>
      <c r="K56" s="336" t="s">
        <v>7619</v>
      </c>
    </row>
    <row r="57" spans="2:12" x14ac:dyDescent="0.25">
      <c r="B57" s="218" t="s">
        <v>4874</v>
      </c>
      <c r="C57" s="214" t="s">
        <v>7453</v>
      </c>
      <c r="D57" s="214" t="s">
        <v>7629</v>
      </c>
      <c r="E57" s="216">
        <f t="shared" si="0"/>
        <v>27292.09</v>
      </c>
      <c r="F57" s="215">
        <v>27292.09</v>
      </c>
      <c r="G57" s="215"/>
      <c r="H57" s="26"/>
      <c r="I57" s="335" t="str">
        <f>IFERROR(VLOOKUP($B57,'IA NARUC Table'!$B:$G,4,FALSE),"")</f>
        <v>Operations Expense</v>
      </c>
      <c r="J57" s="336" t="str">
        <f>IFERROR(VLOOKUP($B57,'IA NARUC Table'!$B:$G,5,FALSE),"")</f>
        <v>Meters</v>
      </c>
      <c r="K57" s="336" t="s">
        <v>7619</v>
      </c>
    </row>
    <row r="58" spans="2:12" x14ac:dyDescent="0.25">
      <c r="B58" s="218" t="s">
        <v>4873</v>
      </c>
      <c r="C58" s="214" t="s">
        <v>7453</v>
      </c>
      <c r="D58" s="214" t="s">
        <v>7630</v>
      </c>
      <c r="E58" s="216">
        <f t="shared" si="0"/>
        <v>15153.36</v>
      </c>
      <c r="F58" s="215">
        <v>15153.36</v>
      </c>
      <c r="G58" s="215"/>
      <c r="H58" s="212"/>
      <c r="I58" s="335" t="str">
        <f>IFERROR(VLOOKUP($B58,'IA NARUC Table'!$B:$G,4,FALSE),"")</f>
        <v>Operations Expense</v>
      </c>
      <c r="J58" s="336" t="str">
        <f>IFERROR(VLOOKUP($B58,'IA NARUC Table'!$B:$G,5,FALSE),"")</f>
        <v>Meters</v>
      </c>
      <c r="K58" s="336" t="s">
        <v>7619</v>
      </c>
    </row>
    <row r="59" spans="2:12" x14ac:dyDescent="0.25">
      <c r="B59" s="218" t="s">
        <v>4872</v>
      </c>
      <c r="C59" s="214" t="s">
        <v>7454</v>
      </c>
      <c r="D59" s="214" t="s">
        <v>7631</v>
      </c>
      <c r="E59" s="216">
        <f t="shared" si="0"/>
        <v>74127.360000000001</v>
      </c>
      <c r="F59" s="215">
        <v>74127.360000000001</v>
      </c>
      <c r="G59" s="215"/>
      <c r="H59" s="212"/>
      <c r="I59" s="335" t="str">
        <f>IFERROR(VLOOKUP($B59,'IA NARUC Table'!$B:$G,4,FALSE),"")</f>
        <v>Operations Expense</v>
      </c>
      <c r="J59" s="336" t="str">
        <f>IFERROR(VLOOKUP($B59,'IA NARUC Table'!$B:$G,5,FALSE),"")</f>
        <v>Customer Accounting</v>
      </c>
      <c r="K59" s="336" t="s">
        <v>7619</v>
      </c>
    </row>
    <row r="60" spans="2:12" x14ac:dyDescent="0.25">
      <c r="B60" s="218" t="s">
        <v>4870</v>
      </c>
      <c r="C60" s="214" t="s">
        <v>7454</v>
      </c>
      <c r="D60" s="214" t="s">
        <v>7632</v>
      </c>
      <c r="E60" s="216">
        <f t="shared" si="0"/>
        <v>142142.47</v>
      </c>
      <c r="F60" s="215">
        <v>142142.47</v>
      </c>
      <c r="G60" s="215"/>
      <c r="H60" s="26"/>
      <c r="I60" s="335" t="str">
        <f>IFERROR(VLOOKUP($B60,'IA NARUC Table'!$B:$G,4,FALSE),"")</f>
        <v>Operations Expense</v>
      </c>
      <c r="J60" s="336" t="str">
        <f>IFERROR(VLOOKUP($B60,'IA NARUC Table'!$B:$G,5,FALSE),"")</f>
        <v>Customer Accounting</v>
      </c>
      <c r="K60" s="336" t="s">
        <v>7619</v>
      </c>
    </row>
    <row r="61" spans="2:12" x14ac:dyDescent="0.25">
      <c r="B61" s="218" t="s">
        <v>4869</v>
      </c>
      <c r="C61" s="214" t="s">
        <v>7454</v>
      </c>
      <c r="D61" s="214" t="s">
        <v>7633</v>
      </c>
      <c r="E61" s="216">
        <f t="shared" si="0"/>
        <v>694782.83</v>
      </c>
      <c r="F61" s="215">
        <v>694782.83</v>
      </c>
      <c r="G61" s="215"/>
      <c r="H61" s="212"/>
      <c r="I61" s="335" t="str">
        <f>IFERROR(VLOOKUP($B61,'IA NARUC Table'!$B:$G,4,FALSE),"")</f>
        <v>Operations Expense</v>
      </c>
      <c r="J61" s="336" t="str">
        <f>IFERROR(VLOOKUP($B61,'IA NARUC Table'!$B:$G,5,FALSE),"")</f>
        <v>Customer Accounting</v>
      </c>
      <c r="K61" s="336" t="s">
        <v>7619</v>
      </c>
    </row>
    <row r="62" spans="2:12" x14ac:dyDescent="0.25">
      <c r="B62" s="218" t="s">
        <v>4867</v>
      </c>
      <c r="C62" s="214" t="s">
        <v>7450</v>
      </c>
      <c r="D62" s="214" t="s">
        <v>7634</v>
      </c>
      <c r="E62" s="216">
        <f t="shared" si="0"/>
        <v>642192.25</v>
      </c>
      <c r="F62" s="215">
        <v>642192.25</v>
      </c>
      <c r="G62" s="215"/>
      <c r="H62" s="212"/>
      <c r="I62" s="335" t="str">
        <f>IFERROR(VLOOKUP($B62,'IA NARUC Table'!$B:$G,4,FALSE),"")</f>
        <v>Operations Expense</v>
      </c>
      <c r="J62" s="336" t="str">
        <f>IFERROR(VLOOKUP($B62,'IA NARUC Table'!$B:$G,5,FALSE),"")</f>
        <v>Admin &amp; General</v>
      </c>
      <c r="K62" s="336" t="s">
        <v>7619</v>
      </c>
    </row>
    <row r="63" spans="2:12" x14ac:dyDescent="0.25">
      <c r="B63" s="218" t="s">
        <v>4856</v>
      </c>
      <c r="C63" s="214" t="s">
        <v>7456</v>
      </c>
      <c r="D63" s="214" t="s">
        <v>7635</v>
      </c>
      <c r="E63" s="216">
        <f t="shared" si="0"/>
        <v>42139.7</v>
      </c>
      <c r="F63" s="215">
        <v>42139.7</v>
      </c>
      <c r="G63" s="215"/>
      <c r="H63" s="212"/>
      <c r="I63" s="335" t="str">
        <f>IFERROR(VLOOKUP($B63,'IA NARUC Table'!$B:$G,4,FALSE),"")</f>
        <v>Maintenance Expense</v>
      </c>
      <c r="J63" s="336" t="str">
        <f>IFERROR(VLOOKUP($B63,'IA NARUC Table'!$B:$G,5,FALSE),"")</f>
        <v>Pumping</v>
      </c>
      <c r="K63" s="336" t="s">
        <v>7619</v>
      </c>
      <c r="L63" s="2" t="s">
        <v>7450</v>
      </c>
    </row>
    <row r="64" spans="2:12" x14ac:dyDescent="0.25">
      <c r="B64" s="218" t="s">
        <v>4855</v>
      </c>
      <c r="C64" s="214" t="s">
        <v>7456</v>
      </c>
      <c r="D64" s="214" t="s">
        <v>7636</v>
      </c>
      <c r="E64" s="216">
        <f t="shared" si="0"/>
        <v>302.98</v>
      </c>
      <c r="F64" s="215">
        <v>302.98</v>
      </c>
      <c r="G64" s="215"/>
      <c r="H64" s="212"/>
      <c r="I64" s="335" t="str">
        <f>IFERROR(VLOOKUP($B64,'IA NARUC Table'!$B:$G,4,FALSE),"")</f>
        <v>Maintenance Expense</v>
      </c>
      <c r="J64" s="336" t="str">
        <f>IFERROR(VLOOKUP($B64,'IA NARUC Table'!$B:$G,5,FALSE),"")</f>
        <v>Pumping</v>
      </c>
      <c r="K64" s="336" t="s">
        <v>7619</v>
      </c>
      <c r="L64" s="2" t="s">
        <v>7450</v>
      </c>
    </row>
    <row r="65" spans="2:12" x14ac:dyDescent="0.25">
      <c r="B65" s="218" t="s">
        <v>4854</v>
      </c>
      <c r="C65" s="214" t="s">
        <v>7456</v>
      </c>
      <c r="D65" s="214" t="s">
        <v>7637</v>
      </c>
      <c r="E65" s="216">
        <f t="shared" si="0"/>
        <v>-244.88</v>
      </c>
      <c r="F65" s="215">
        <v>-244.88</v>
      </c>
      <c r="G65" s="215"/>
      <c r="H65" s="212"/>
      <c r="I65" s="335" t="str">
        <f>IFERROR(VLOOKUP($B65,'IA NARUC Table'!$B:$G,4,FALSE),"")</f>
        <v>Maintenance Expense</v>
      </c>
      <c r="J65" s="336" t="str">
        <f>IFERROR(VLOOKUP($B65,'IA NARUC Table'!$B:$G,5,FALSE),"")</f>
        <v>Pumping</v>
      </c>
      <c r="K65" s="336" t="s">
        <v>7619</v>
      </c>
      <c r="L65" s="2" t="s">
        <v>7451</v>
      </c>
    </row>
    <row r="66" spans="2:12" x14ac:dyDescent="0.25">
      <c r="B66" s="218" t="s">
        <v>4851</v>
      </c>
      <c r="C66" s="214" t="s">
        <v>7457</v>
      </c>
      <c r="D66" s="214" t="s">
        <v>7638</v>
      </c>
      <c r="E66" s="216">
        <f t="shared" si="0"/>
        <v>132832.97</v>
      </c>
      <c r="F66" s="215">
        <v>132832.97</v>
      </c>
      <c r="G66" s="215"/>
      <c r="H66" s="212"/>
      <c r="I66" s="335" t="str">
        <f>IFERROR(VLOOKUP($B66,'IA NARUC Table'!$B:$G,4,FALSE),"")</f>
        <v>Maintenance Expense</v>
      </c>
      <c r="J66" s="336" t="str">
        <f>IFERROR(VLOOKUP($B66,'IA NARUC Table'!$B:$G,5,FALSE),"")</f>
        <v>Water Treatment</v>
      </c>
      <c r="K66" s="336" t="s">
        <v>7619</v>
      </c>
      <c r="L66" s="2" t="s">
        <v>7452</v>
      </c>
    </row>
    <row r="67" spans="2:12" x14ac:dyDescent="0.25">
      <c r="B67" s="218" t="s">
        <v>4850</v>
      </c>
      <c r="C67" s="214" t="s">
        <v>7457</v>
      </c>
      <c r="D67" s="214" t="s">
        <v>7639</v>
      </c>
      <c r="E67" s="216">
        <f t="shared" si="0"/>
        <v>138310.20000000001</v>
      </c>
      <c r="F67" s="215">
        <v>138310.20000000001</v>
      </c>
      <c r="G67" s="215"/>
      <c r="H67" s="212"/>
      <c r="I67" s="335" t="str">
        <f>IFERROR(VLOOKUP($B67,'IA NARUC Table'!$B:$G,4,FALSE),"")</f>
        <v>Maintenance Expense</v>
      </c>
      <c r="J67" s="336" t="str">
        <f>IFERROR(VLOOKUP($B67,'IA NARUC Table'!$B:$G,5,FALSE),"")</f>
        <v>Water Treatment</v>
      </c>
      <c r="K67" s="336" t="s">
        <v>7619</v>
      </c>
      <c r="L67" s="2" t="s">
        <v>7452</v>
      </c>
    </row>
    <row r="68" spans="2:12" x14ac:dyDescent="0.25">
      <c r="B68" s="218" t="s">
        <v>4849</v>
      </c>
      <c r="C68" s="214" t="s">
        <v>7458</v>
      </c>
      <c r="D68" s="214" t="s">
        <v>7640</v>
      </c>
      <c r="E68" s="216">
        <f t="shared" si="0"/>
        <v>0</v>
      </c>
      <c r="F68" s="215">
        <v>0</v>
      </c>
      <c r="G68" s="215"/>
      <c r="H68" s="212"/>
      <c r="I68" s="335" t="str">
        <f>IFERROR(VLOOKUP($B68,'IA NARUC Table'!$B:$G,4,FALSE),"")</f>
        <v>Maintenance Expense</v>
      </c>
      <c r="J68" s="336" t="str">
        <f>IFERROR(VLOOKUP($B68,'IA NARUC Table'!$B:$G,5,FALSE),"")</f>
        <v>General T/D</v>
      </c>
      <c r="K68" s="336" t="s">
        <v>7619</v>
      </c>
      <c r="L68" s="2" t="s">
        <v>7453</v>
      </c>
    </row>
    <row r="69" spans="2:12" x14ac:dyDescent="0.25">
      <c r="B69" s="218" t="s">
        <v>4845</v>
      </c>
      <c r="C69" s="214" t="s">
        <v>7458</v>
      </c>
      <c r="D69" s="214" t="s">
        <v>7641</v>
      </c>
      <c r="E69" s="216">
        <f t="shared" si="0"/>
        <v>157272.31</v>
      </c>
      <c r="F69" s="215">
        <v>157272.31</v>
      </c>
      <c r="G69" s="215"/>
      <c r="H69" s="212"/>
      <c r="I69" s="335" t="str">
        <f>IFERROR(VLOOKUP($B69,'IA NARUC Table'!$B:$G,4,FALSE),"")</f>
        <v>Maintenance Expense</v>
      </c>
      <c r="J69" s="336" t="str">
        <f>IFERROR(VLOOKUP($B69,'IA NARUC Table'!$B:$G,5,FALSE),"")</f>
        <v>General Mains</v>
      </c>
      <c r="K69" s="336" t="s">
        <v>7619</v>
      </c>
      <c r="L69" s="2" t="s">
        <v>7453</v>
      </c>
    </row>
    <row r="70" spans="2:12" x14ac:dyDescent="0.25">
      <c r="B70" s="218" t="s">
        <v>4843</v>
      </c>
      <c r="C70" s="214" t="s">
        <v>7458</v>
      </c>
      <c r="D70" s="214" t="s">
        <v>7642</v>
      </c>
      <c r="E70" s="216">
        <f t="shared" si="0"/>
        <v>7739.24</v>
      </c>
      <c r="F70" s="215">
        <v>7739.24</v>
      </c>
      <c r="G70" s="215"/>
      <c r="H70" s="212"/>
      <c r="I70" s="335" t="str">
        <f>IFERROR(VLOOKUP($B70,'IA NARUC Table'!$B:$G,4,FALSE),"")</f>
        <v>Maintenance Expense</v>
      </c>
      <c r="J70" s="336" t="str">
        <f>IFERROR(VLOOKUP($B70,'IA NARUC Table'!$B:$G,5,FALSE),"")</f>
        <v>Services</v>
      </c>
      <c r="K70" s="336" t="s">
        <v>7619</v>
      </c>
      <c r="L70" s="2" t="s">
        <v>7453</v>
      </c>
    </row>
    <row r="71" spans="2:12" x14ac:dyDescent="0.25">
      <c r="B71" s="218" t="s">
        <v>4841</v>
      </c>
      <c r="C71" s="214" t="s">
        <v>7458</v>
      </c>
      <c r="D71" s="214" t="s">
        <v>7643</v>
      </c>
      <c r="E71" s="216">
        <f t="shared" ref="E71:E134" si="1">SUM(F71:G71)</f>
        <v>239357.5</v>
      </c>
      <c r="F71" s="215">
        <v>239357.5</v>
      </c>
      <c r="G71" s="215"/>
      <c r="H71" s="212"/>
      <c r="I71" s="335" t="str">
        <f>IFERROR(VLOOKUP($B71,'IA NARUC Table'!$B:$G,4,FALSE),"")</f>
        <v>Maintenance Expense</v>
      </c>
      <c r="J71" s="336" t="str">
        <f>IFERROR(VLOOKUP($B71,'IA NARUC Table'!$B:$G,5,FALSE),"")</f>
        <v>Hydrants</v>
      </c>
      <c r="K71" s="336" t="s">
        <v>7619</v>
      </c>
      <c r="L71" s="2" t="s">
        <v>7453</v>
      </c>
    </row>
    <row r="72" spans="2:12" x14ac:dyDescent="0.25">
      <c r="B72" s="218" t="s">
        <v>4839</v>
      </c>
      <c r="C72" s="214" t="s">
        <v>7450</v>
      </c>
      <c r="D72" s="214" t="s">
        <v>7644</v>
      </c>
      <c r="E72" s="216">
        <f t="shared" si="1"/>
        <v>-1541206.16</v>
      </c>
      <c r="F72" s="215">
        <v>-1541206.16</v>
      </c>
      <c r="G72" s="215"/>
      <c r="H72" s="212"/>
      <c r="I72" s="335" t="str">
        <f>IFERROR(VLOOKUP($B72,'IA NARUC Table'!$B:$G,4,FALSE),"")</f>
        <v>Operations Expense</v>
      </c>
      <c r="J72" s="336" t="str">
        <f>IFERROR(VLOOKUP($B72,'IA NARUC Table'!$B:$G,5,FALSE),"")</f>
        <v>Admin &amp; General</v>
      </c>
      <c r="K72" s="336" t="s">
        <v>7619</v>
      </c>
    </row>
    <row r="73" spans="2:12" x14ac:dyDescent="0.25">
      <c r="B73" s="218" t="s">
        <v>4838</v>
      </c>
      <c r="C73" s="214" t="s">
        <v>7450</v>
      </c>
      <c r="D73" s="214" t="s">
        <v>7645</v>
      </c>
      <c r="E73" s="216">
        <f t="shared" si="1"/>
        <v>195987.09</v>
      </c>
      <c r="F73" s="215">
        <v>195987.09</v>
      </c>
      <c r="G73" s="215"/>
      <c r="H73" s="212"/>
      <c r="I73" s="335" t="str">
        <f>IFERROR(VLOOKUP($B73,'IA NARUC Table'!$B:$G,4,FALSE),"")</f>
        <v>Operations Expense</v>
      </c>
      <c r="J73" s="336" t="str">
        <f>IFERROR(VLOOKUP($B73,'IA NARUC Table'!$B:$G,5,FALSE),"")</f>
        <v>Admin &amp; General</v>
      </c>
      <c r="K73" s="336" t="s">
        <v>7619</v>
      </c>
    </row>
    <row r="74" spans="2:12" x14ac:dyDescent="0.25">
      <c r="B74" s="218" t="s">
        <v>4835</v>
      </c>
      <c r="C74" s="214" t="s">
        <v>7451</v>
      </c>
      <c r="D74" s="214" t="s">
        <v>7646</v>
      </c>
      <c r="E74" s="216">
        <f t="shared" si="1"/>
        <v>138997.09</v>
      </c>
      <c r="F74" s="215">
        <v>138997.09</v>
      </c>
      <c r="G74" s="215"/>
      <c r="H74" s="212"/>
      <c r="I74" s="335" t="str">
        <f>IFERROR(VLOOKUP($B74,'IA NARUC Table'!$B:$G,4,FALSE),"")</f>
        <v>Operations Expense</v>
      </c>
      <c r="J74" s="336" t="str">
        <f>IFERROR(VLOOKUP($B74,'IA NARUC Table'!$B:$G,5,FALSE),"")</f>
        <v>Pumping</v>
      </c>
      <c r="K74" s="336" t="s">
        <v>7619</v>
      </c>
    </row>
    <row r="75" spans="2:12" x14ac:dyDescent="0.25">
      <c r="B75" s="218" t="s">
        <v>4831</v>
      </c>
      <c r="C75" s="214" t="s">
        <v>7452</v>
      </c>
      <c r="D75" s="214" t="s">
        <v>7647</v>
      </c>
      <c r="E75" s="216">
        <f t="shared" si="1"/>
        <v>11768.21</v>
      </c>
      <c r="F75" s="215">
        <v>11768.21</v>
      </c>
      <c r="G75" s="215"/>
      <c r="H75" s="212"/>
      <c r="I75" s="335" t="str">
        <f>IFERROR(VLOOKUP($B75,'IA NARUC Table'!$B:$G,4,FALSE),"")</f>
        <v>Operations Expense</v>
      </c>
      <c r="J75" s="336" t="str">
        <f>IFERROR(VLOOKUP($B75,'IA NARUC Table'!$B:$G,5,FALSE),"")</f>
        <v>Water Treatment</v>
      </c>
      <c r="K75" s="336" t="s">
        <v>7619</v>
      </c>
    </row>
    <row r="76" spans="2:12" x14ac:dyDescent="0.25">
      <c r="B76" s="218" t="s">
        <v>4830</v>
      </c>
      <c r="C76" s="214" t="s">
        <v>7452</v>
      </c>
      <c r="D76" s="214" t="s">
        <v>7648</v>
      </c>
      <c r="E76" s="216">
        <f t="shared" si="1"/>
        <v>0</v>
      </c>
      <c r="F76" s="215">
        <v>0</v>
      </c>
      <c r="G76" s="215"/>
      <c r="H76" s="212"/>
      <c r="I76" s="335" t="str">
        <f>IFERROR(VLOOKUP($B76,'IA NARUC Table'!$B:$G,4,FALSE),"")</f>
        <v>Operations Expense</v>
      </c>
      <c r="J76" s="336" t="str">
        <f>IFERROR(VLOOKUP($B76,'IA NARUC Table'!$B:$G,5,FALSE),"")</f>
        <v>Water Treatment</v>
      </c>
      <c r="K76" s="336" t="s">
        <v>7619</v>
      </c>
    </row>
    <row r="77" spans="2:12" x14ac:dyDescent="0.25">
      <c r="B77" s="218" t="s">
        <v>4829</v>
      </c>
      <c r="C77" s="214" t="s">
        <v>7453</v>
      </c>
      <c r="D77" s="214" t="s">
        <v>7649</v>
      </c>
      <c r="E77" s="216">
        <f t="shared" si="1"/>
        <v>63799.65</v>
      </c>
      <c r="F77" s="215">
        <v>63799.65</v>
      </c>
      <c r="G77" s="215"/>
      <c r="H77" s="212"/>
      <c r="I77" s="335" t="str">
        <f>IFERROR(VLOOKUP($B77,'IA NARUC Table'!$B:$G,4,FALSE),"")</f>
        <v>Operations Expense</v>
      </c>
      <c r="J77" s="336" t="str">
        <f>IFERROR(VLOOKUP($B77,'IA NARUC Table'!$B:$G,5,FALSE),"")</f>
        <v>General T/D</v>
      </c>
      <c r="K77" s="336" t="s">
        <v>7619</v>
      </c>
    </row>
    <row r="78" spans="2:12" x14ac:dyDescent="0.25">
      <c r="B78" s="218" t="s">
        <v>4826</v>
      </c>
      <c r="C78" s="214" t="s">
        <v>7453</v>
      </c>
      <c r="D78" s="214" t="s">
        <v>7650</v>
      </c>
      <c r="E78" s="216">
        <f t="shared" si="1"/>
        <v>24766.52</v>
      </c>
      <c r="F78" s="215">
        <v>24766.52</v>
      </c>
      <c r="G78" s="215"/>
      <c r="H78" s="212"/>
      <c r="I78" s="335" t="str">
        <f>IFERROR(VLOOKUP($B78,'IA NARUC Table'!$B:$G,4,FALSE),"")</f>
        <v>Operations Expense</v>
      </c>
      <c r="J78" s="336" t="str">
        <f>IFERROR(VLOOKUP($B78,'IA NARUC Table'!$B:$G,5,FALSE),"")</f>
        <v>General Mains</v>
      </c>
      <c r="K78" s="336" t="s">
        <v>7619</v>
      </c>
    </row>
    <row r="79" spans="2:12" x14ac:dyDescent="0.25">
      <c r="B79" s="218" t="s">
        <v>4825</v>
      </c>
      <c r="C79" s="214" t="s">
        <v>7453</v>
      </c>
      <c r="D79" s="214" t="s">
        <v>7651</v>
      </c>
      <c r="E79" s="216">
        <f t="shared" si="1"/>
        <v>3218</v>
      </c>
      <c r="F79" s="215">
        <v>3218</v>
      </c>
      <c r="G79" s="215"/>
      <c r="H79" s="212"/>
      <c r="I79" s="335" t="str">
        <f>IFERROR(VLOOKUP($B79,'IA NARUC Table'!$B:$G,4,FALSE),"")</f>
        <v>Operations Expense</v>
      </c>
      <c r="J79" s="336" t="str">
        <f>IFERROR(VLOOKUP($B79,'IA NARUC Table'!$B:$G,5,FALSE),"")</f>
        <v>Meters</v>
      </c>
      <c r="K79" s="336" t="s">
        <v>7619</v>
      </c>
    </row>
    <row r="80" spans="2:12" x14ac:dyDescent="0.25">
      <c r="B80" s="218" t="s">
        <v>4824</v>
      </c>
      <c r="C80" s="214" t="s">
        <v>7453</v>
      </c>
      <c r="D80" s="214" t="s">
        <v>7652</v>
      </c>
      <c r="E80" s="216">
        <f t="shared" si="1"/>
        <v>2172.58</v>
      </c>
      <c r="F80" s="215">
        <v>2172.58</v>
      </c>
      <c r="G80" s="215"/>
      <c r="H80" s="212"/>
      <c r="I80" s="335" t="str">
        <f>IFERROR(VLOOKUP($B80,'IA NARUC Table'!$B:$G,4,FALSE),"")</f>
        <v>Operations Expense</v>
      </c>
      <c r="J80" s="336" t="str">
        <f>IFERROR(VLOOKUP($B80,'IA NARUC Table'!$B:$G,5,FALSE),"")</f>
        <v>Meters</v>
      </c>
      <c r="K80" s="336" t="s">
        <v>7619</v>
      </c>
    </row>
    <row r="81" spans="2:12" x14ac:dyDescent="0.25">
      <c r="B81" s="218" t="s">
        <v>4823</v>
      </c>
      <c r="C81" s="214" t="s">
        <v>7454</v>
      </c>
      <c r="D81" s="214" t="s">
        <v>7653</v>
      </c>
      <c r="E81" s="216">
        <f t="shared" si="1"/>
        <v>219.7</v>
      </c>
      <c r="F81" s="215">
        <v>219.7</v>
      </c>
      <c r="G81" s="215"/>
      <c r="H81" s="212"/>
      <c r="I81" s="335" t="str">
        <f>IFERROR(VLOOKUP($B81,'IA NARUC Table'!$B:$G,4,FALSE),"")</f>
        <v>Operations Expense</v>
      </c>
      <c r="J81" s="336" t="str">
        <f>IFERROR(VLOOKUP($B81,'IA NARUC Table'!$B:$G,5,FALSE),"")</f>
        <v>Customer Accounting</v>
      </c>
      <c r="K81" s="336" t="s">
        <v>7619</v>
      </c>
    </row>
    <row r="82" spans="2:12" x14ac:dyDescent="0.25">
      <c r="B82" s="218" t="s">
        <v>4821</v>
      </c>
      <c r="C82" s="214" t="s">
        <v>7454</v>
      </c>
      <c r="D82" s="214" t="s">
        <v>7654</v>
      </c>
      <c r="E82" s="216">
        <f t="shared" si="1"/>
        <v>2908.09</v>
      </c>
      <c r="F82" s="215">
        <v>2908.09</v>
      </c>
      <c r="G82" s="215"/>
      <c r="H82" s="212"/>
      <c r="I82" s="335" t="str">
        <f>IFERROR(VLOOKUP($B82,'IA NARUC Table'!$B:$G,4,FALSE),"")</f>
        <v>Operations Expense</v>
      </c>
      <c r="J82" s="336" t="str">
        <f>IFERROR(VLOOKUP($B82,'IA NARUC Table'!$B:$G,5,FALSE),"")</f>
        <v>Customer Accounting</v>
      </c>
      <c r="K82" s="336" t="s">
        <v>7619</v>
      </c>
    </row>
    <row r="83" spans="2:12" x14ac:dyDescent="0.25">
      <c r="B83" s="218" t="s">
        <v>4820</v>
      </c>
      <c r="C83" s="214" t="s">
        <v>7454</v>
      </c>
      <c r="D83" s="214" t="s">
        <v>7655</v>
      </c>
      <c r="E83" s="216">
        <f t="shared" si="1"/>
        <v>81375.539999999994</v>
      </c>
      <c r="F83" s="215">
        <v>81375.539999999994</v>
      </c>
      <c r="G83" s="215"/>
      <c r="H83" s="212"/>
      <c r="I83" s="335" t="str">
        <f>IFERROR(VLOOKUP($B83,'IA NARUC Table'!$B:$G,4,FALSE),"")</f>
        <v>Operations Expense</v>
      </c>
      <c r="J83" s="336" t="str">
        <f>IFERROR(VLOOKUP($B83,'IA NARUC Table'!$B:$G,5,FALSE),"")</f>
        <v>Customer Accounting</v>
      </c>
      <c r="K83" s="336" t="s">
        <v>7619</v>
      </c>
    </row>
    <row r="84" spans="2:12" x14ac:dyDescent="0.25">
      <c r="B84" s="218" t="s">
        <v>4818</v>
      </c>
      <c r="C84" s="214" t="s">
        <v>7450</v>
      </c>
      <c r="D84" s="214" t="s">
        <v>7656</v>
      </c>
      <c r="E84" s="216">
        <f t="shared" si="1"/>
        <v>939.29</v>
      </c>
      <c r="F84" s="215">
        <v>939.29</v>
      </c>
      <c r="G84" s="215"/>
      <c r="H84" s="212"/>
      <c r="I84" s="335" t="str">
        <f>IFERROR(VLOOKUP($B84,'IA NARUC Table'!$B:$G,4,FALSE),"")</f>
        <v>Operations Expense</v>
      </c>
      <c r="J84" s="336" t="str">
        <f>IFERROR(VLOOKUP($B84,'IA NARUC Table'!$B:$G,5,FALSE),"")</f>
        <v>Admin &amp; General</v>
      </c>
      <c r="K84" s="336" t="s">
        <v>7619</v>
      </c>
    </row>
    <row r="85" spans="2:12" x14ac:dyDescent="0.25">
      <c r="B85" s="218" t="s">
        <v>4807</v>
      </c>
      <c r="C85" s="214" t="s">
        <v>7456</v>
      </c>
      <c r="D85" s="214" t="s">
        <v>7657</v>
      </c>
      <c r="E85" s="216">
        <f t="shared" si="1"/>
        <v>301.42</v>
      </c>
      <c r="F85" s="215">
        <v>301.42</v>
      </c>
      <c r="G85" s="215"/>
      <c r="H85" s="212"/>
      <c r="I85" s="335" t="str">
        <f>IFERROR(VLOOKUP($B85,'IA NARUC Table'!$B:$G,4,FALSE),"")</f>
        <v>Maintenance Expense</v>
      </c>
      <c r="J85" s="336" t="str">
        <f>IFERROR(VLOOKUP($B85,'IA NARUC Table'!$B:$G,5,FALSE),"")</f>
        <v>Pumping</v>
      </c>
      <c r="K85" s="336" t="s">
        <v>7619</v>
      </c>
      <c r="L85" s="2" t="s">
        <v>7450</v>
      </c>
    </row>
    <row r="86" spans="2:12" x14ac:dyDescent="0.25">
      <c r="B86" s="218" t="s">
        <v>4806</v>
      </c>
      <c r="C86" s="214" t="s">
        <v>7456</v>
      </c>
      <c r="D86" s="214" t="s">
        <v>7658</v>
      </c>
      <c r="E86" s="216">
        <f t="shared" si="1"/>
        <v>127.36</v>
      </c>
      <c r="F86" s="215">
        <v>127.36</v>
      </c>
      <c r="G86" s="215"/>
      <c r="H86" s="212"/>
      <c r="I86" s="335" t="str">
        <f>IFERROR(VLOOKUP($B86,'IA NARUC Table'!$B:$G,4,FALSE),"")</f>
        <v>Maintenance Expense</v>
      </c>
      <c r="J86" s="336" t="str">
        <f>IFERROR(VLOOKUP($B86,'IA NARUC Table'!$B:$G,5,FALSE),"")</f>
        <v>Pumping</v>
      </c>
      <c r="K86" s="336" t="s">
        <v>7619</v>
      </c>
      <c r="L86" s="2" t="s">
        <v>7450</v>
      </c>
    </row>
    <row r="87" spans="2:12" x14ac:dyDescent="0.25">
      <c r="B87" s="218" t="s">
        <v>4803</v>
      </c>
      <c r="C87" s="214" t="s">
        <v>7457</v>
      </c>
      <c r="D87" s="214" t="s">
        <v>7659</v>
      </c>
      <c r="E87" s="216">
        <f t="shared" si="1"/>
        <v>14225.22</v>
      </c>
      <c r="F87" s="215">
        <v>14225.22</v>
      </c>
      <c r="G87" s="215"/>
      <c r="H87" s="212"/>
      <c r="I87" s="335" t="str">
        <f>IFERROR(VLOOKUP($B87,'IA NARUC Table'!$B:$G,4,FALSE),"")</f>
        <v>Maintenance Expense</v>
      </c>
      <c r="J87" s="336" t="str">
        <f>IFERROR(VLOOKUP($B87,'IA NARUC Table'!$B:$G,5,FALSE),"")</f>
        <v>Water Treatment</v>
      </c>
      <c r="K87" s="336" t="s">
        <v>7619</v>
      </c>
      <c r="L87" s="2" t="s">
        <v>7450</v>
      </c>
    </row>
    <row r="88" spans="2:12" x14ac:dyDescent="0.25">
      <c r="B88" s="218" t="s">
        <v>4802</v>
      </c>
      <c r="C88" s="214" t="s">
        <v>7457</v>
      </c>
      <c r="D88" s="214" t="s">
        <v>7660</v>
      </c>
      <c r="E88" s="216">
        <f t="shared" si="1"/>
        <v>17411.39</v>
      </c>
      <c r="F88" s="215">
        <v>17411.39</v>
      </c>
      <c r="G88" s="215"/>
      <c r="H88" s="212"/>
      <c r="I88" s="335" t="str">
        <f>IFERROR(VLOOKUP($B88,'IA NARUC Table'!$B:$G,4,FALSE),"")</f>
        <v>Maintenance Expense</v>
      </c>
      <c r="J88" s="336" t="str">
        <f>IFERROR(VLOOKUP($B88,'IA NARUC Table'!$B:$G,5,FALSE),"")</f>
        <v>Water Treatment</v>
      </c>
      <c r="K88" s="336" t="s">
        <v>7619</v>
      </c>
      <c r="L88" s="2" t="s">
        <v>7459</v>
      </c>
    </row>
    <row r="89" spans="2:12" x14ac:dyDescent="0.25">
      <c r="B89" s="218" t="s">
        <v>4801</v>
      </c>
      <c r="C89" s="214" t="s">
        <v>7458</v>
      </c>
      <c r="D89" s="214" t="s">
        <v>7661</v>
      </c>
      <c r="E89" s="216">
        <f t="shared" si="1"/>
        <v>0</v>
      </c>
      <c r="F89" s="215">
        <v>0</v>
      </c>
      <c r="G89" s="215"/>
      <c r="H89" s="212"/>
      <c r="I89" s="335" t="str">
        <f>IFERROR(VLOOKUP($B89,'IA NARUC Table'!$B:$G,4,FALSE),"")</f>
        <v>Maintenance Expense</v>
      </c>
      <c r="J89" s="336" t="str">
        <f>IFERROR(VLOOKUP($B89,'IA NARUC Table'!$B:$G,5,FALSE),"")</f>
        <v>General T/D</v>
      </c>
      <c r="K89" s="336" t="s">
        <v>7619</v>
      </c>
      <c r="L89" s="2" t="s">
        <v>7459</v>
      </c>
    </row>
    <row r="90" spans="2:12" x14ac:dyDescent="0.25">
      <c r="B90" s="218" t="s">
        <v>4797</v>
      </c>
      <c r="C90" s="214" t="s">
        <v>7458</v>
      </c>
      <c r="D90" s="214" t="s">
        <v>7662</v>
      </c>
      <c r="E90" s="216">
        <f t="shared" si="1"/>
        <v>83607.55</v>
      </c>
      <c r="F90" s="215">
        <v>83607.55</v>
      </c>
      <c r="G90" s="215"/>
      <c r="H90" s="212"/>
      <c r="I90" s="335" t="str">
        <f>IFERROR(VLOOKUP($B90,'IA NARUC Table'!$B:$G,4,FALSE),"")</f>
        <v>Maintenance Expense</v>
      </c>
      <c r="J90" s="336" t="str">
        <f>IFERROR(VLOOKUP($B90,'IA NARUC Table'!$B:$G,5,FALSE),"")</f>
        <v>General Mains</v>
      </c>
      <c r="K90" s="336" t="s">
        <v>7619</v>
      </c>
      <c r="L90" s="2" t="s">
        <v>7459</v>
      </c>
    </row>
    <row r="91" spans="2:12" x14ac:dyDescent="0.25">
      <c r="B91" s="218" t="s">
        <v>4795</v>
      </c>
      <c r="C91" s="214" t="s">
        <v>7458</v>
      </c>
      <c r="D91" s="214" t="s">
        <v>7663</v>
      </c>
      <c r="E91" s="216">
        <f t="shared" si="1"/>
        <v>557.21</v>
      </c>
      <c r="F91" s="215">
        <v>557.21</v>
      </c>
      <c r="G91" s="215"/>
      <c r="H91" s="212"/>
      <c r="I91" s="335" t="str">
        <f>IFERROR(VLOOKUP($B91,'IA NARUC Table'!$B:$G,4,FALSE),"")</f>
        <v>Maintenance Expense</v>
      </c>
      <c r="J91" s="336" t="str">
        <f>IFERROR(VLOOKUP($B91,'IA NARUC Table'!$B:$G,5,FALSE),"")</f>
        <v>Services</v>
      </c>
      <c r="K91" s="336" t="s">
        <v>7619</v>
      </c>
      <c r="L91" s="2" t="s">
        <v>7459</v>
      </c>
    </row>
    <row r="92" spans="2:12" x14ac:dyDescent="0.25">
      <c r="B92" s="218" t="s">
        <v>4793</v>
      </c>
      <c r="C92" s="214" t="s">
        <v>7458</v>
      </c>
      <c r="D92" s="214" t="s">
        <v>7664</v>
      </c>
      <c r="E92" s="216">
        <f t="shared" si="1"/>
        <v>72847.62</v>
      </c>
      <c r="F92" s="215">
        <v>72847.62</v>
      </c>
      <c r="G92" s="215"/>
      <c r="H92" s="212"/>
      <c r="I92" s="335" t="str">
        <f>IFERROR(VLOOKUP($B92,'IA NARUC Table'!$B:$G,4,FALSE),"")</f>
        <v>Maintenance Expense</v>
      </c>
      <c r="J92" s="336" t="str">
        <f>IFERROR(VLOOKUP($B92,'IA NARUC Table'!$B:$G,5,FALSE),"")</f>
        <v>Hydrants</v>
      </c>
      <c r="K92" s="336" t="s">
        <v>7619</v>
      </c>
      <c r="L92" s="2" t="s">
        <v>7459</v>
      </c>
    </row>
    <row r="93" spans="2:12" x14ac:dyDescent="0.25">
      <c r="B93" s="218" t="s">
        <v>4791</v>
      </c>
      <c r="C93" s="214" t="s">
        <v>7450</v>
      </c>
      <c r="D93" s="214" t="s">
        <v>7665</v>
      </c>
      <c r="E93" s="216">
        <f t="shared" si="1"/>
        <v>-195987.09</v>
      </c>
      <c r="F93" s="215">
        <v>-195987.09</v>
      </c>
      <c r="G93" s="215"/>
      <c r="H93" s="212"/>
      <c r="I93" s="335" t="str">
        <f>IFERROR(VLOOKUP($B93,'IA NARUC Table'!$B:$G,4,FALSE),"")</f>
        <v>Operations Expense</v>
      </c>
      <c r="J93" s="336" t="str">
        <f>IFERROR(VLOOKUP($B93,'IA NARUC Table'!$B:$G,5,FALSE),"")</f>
        <v>Admin &amp; General</v>
      </c>
      <c r="K93" s="336" t="s">
        <v>7619</v>
      </c>
    </row>
    <row r="94" spans="2:12" x14ac:dyDescent="0.25">
      <c r="B94" s="218" t="s">
        <v>4790</v>
      </c>
      <c r="C94" s="214" t="s">
        <v>7450</v>
      </c>
      <c r="D94" s="214" t="s">
        <v>7666</v>
      </c>
      <c r="E94" s="216">
        <f t="shared" si="1"/>
        <v>0</v>
      </c>
      <c r="F94" s="215">
        <v>0</v>
      </c>
      <c r="G94" s="215"/>
      <c r="H94" s="212"/>
      <c r="I94" s="335" t="str">
        <f>IFERROR(VLOOKUP($B94,'IA NARUC Table'!$B:$G,4,FALSE),"")</f>
        <v>Operations Expense</v>
      </c>
      <c r="J94" s="336" t="str">
        <f>IFERROR(VLOOKUP($B94,'IA NARUC Table'!$B:$G,5,FALSE),"")</f>
        <v>Admin &amp; General</v>
      </c>
      <c r="K94" s="336" t="s">
        <v>7619</v>
      </c>
    </row>
    <row r="95" spans="2:12" x14ac:dyDescent="0.25">
      <c r="B95" s="218" t="s">
        <v>4787</v>
      </c>
      <c r="C95" s="214" t="s">
        <v>7451</v>
      </c>
      <c r="D95" s="214" t="s">
        <v>7667</v>
      </c>
      <c r="E95" s="216">
        <f t="shared" si="1"/>
        <v>12765.87</v>
      </c>
      <c r="F95" s="215">
        <v>12765.87</v>
      </c>
      <c r="G95" s="215"/>
      <c r="H95" s="212"/>
      <c r="I95" s="335" t="str">
        <f>IFERROR(VLOOKUP($B95,'IA NARUC Table'!$B:$G,4,FALSE),"")</f>
        <v>Operations Expense</v>
      </c>
      <c r="J95" s="336" t="str">
        <f>IFERROR(VLOOKUP($B95,'IA NARUC Table'!$B:$G,5,FALSE),"")</f>
        <v>Pumping</v>
      </c>
      <c r="K95" s="336" t="s">
        <v>7619</v>
      </c>
    </row>
    <row r="96" spans="2:12" x14ac:dyDescent="0.25">
      <c r="B96" s="218" t="s">
        <v>4781</v>
      </c>
      <c r="C96" s="214" t="s">
        <v>7453</v>
      </c>
      <c r="D96" s="214" t="s">
        <v>7668</v>
      </c>
      <c r="E96" s="216">
        <f t="shared" si="1"/>
        <v>661.22</v>
      </c>
      <c r="F96" s="215">
        <v>661.22</v>
      </c>
      <c r="G96" s="215"/>
      <c r="H96" s="212"/>
      <c r="I96" s="335" t="str">
        <f>IFERROR(VLOOKUP($B96,'IA NARUC Table'!$B:$G,4,FALSE),"")</f>
        <v>Operations Expense</v>
      </c>
      <c r="J96" s="336" t="str">
        <f>IFERROR(VLOOKUP($B96,'IA NARUC Table'!$B:$G,5,FALSE),"")</f>
        <v>General T/D</v>
      </c>
      <c r="K96" s="336" t="s">
        <v>7619</v>
      </c>
    </row>
    <row r="97" spans="2:12" x14ac:dyDescent="0.25">
      <c r="B97" s="218" t="s">
        <v>4778</v>
      </c>
      <c r="C97" s="214" t="s">
        <v>7453</v>
      </c>
      <c r="D97" s="214" t="s">
        <v>7669</v>
      </c>
      <c r="E97" s="216">
        <f t="shared" si="1"/>
        <v>93.4</v>
      </c>
      <c r="F97" s="215">
        <v>93.4</v>
      </c>
      <c r="G97" s="215"/>
      <c r="H97" s="212"/>
      <c r="I97" s="335" t="str">
        <f>IFERROR(VLOOKUP($B97,'IA NARUC Table'!$B:$G,4,FALSE),"")</f>
        <v>Operations Expense</v>
      </c>
      <c r="J97" s="336" t="str">
        <f>IFERROR(VLOOKUP($B97,'IA NARUC Table'!$B:$G,5,FALSE),"")</f>
        <v>General Mains</v>
      </c>
      <c r="K97" s="336" t="s">
        <v>7619</v>
      </c>
    </row>
    <row r="98" spans="2:12" x14ac:dyDescent="0.25">
      <c r="B98" s="218" t="s">
        <v>4772</v>
      </c>
      <c r="C98" s="214" t="s">
        <v>7454</v>
      </c>
      <c r="D98" s="214" t="s">
        <v>7670</v>
      </c>
      <c r="E98" s="216">
        <f t="shared" si="1"/>
        <v>139.04</v>
      </c>
      <c r="F98" s="215">
        <v>139.04</v>
      </c>
      <c r="G98" s="215"/>
      <c r="H98" s="212"/>
      <c r="I98" s="335" t="str">
        <f>IFERROR(VLOOKUP($B98,'IA NARUC Table'!$B:$G,4,FALSE),"")</f>
        <v>Operations Expense</v>
      </c>
      <c r="J98" s="336" t="str">
        <f>IFERROR(VLOOKUP($B98,'IA NARUC Table'!$B:$G,5,FALSE),"")</f>
        <v>Customer Accounting</v>
      </c>
      <c r="K98" s="336" t="s">
        <v>7619</v>
      </c>
    </row>
    <row r="99" spans="2:12" x14ac:dyDescent="0.25">
      <c r="B99" s="218" t="s">
        <v>4755</v>
      </c>
      <c r="C99" s="214" t="s">
        <v>7457</v>
      </c>
      <c r="D99" s="214" t="s">
        <v>7671</v>
      </c>
      <c r="E99" s="216">
        <f t="shared" si="1"/>
        <v>376.78</v>
      </c>
      <c r="F99" s="215">
        <v>376.78</v>
      </c>
      <c r="G99" s="215"/>
      <c r="H99" s="212"/>
      <c r="I99" s="335" t="str">
        <f>IFERROR(VLOOKUP($B99,'IA NARUC Table'!$B:$G,4,FALSE),"")</f>
        <v>Maintenance Expense</v>
      </c>
      <c r="J99" s="336" t="str">
        <f>IFERROR(VLOOKUP($B99,'IA NARUC Table'!$B:$G,5,FALSE),"")</f>
        <v>Water Treatment</v>
      </c>
      <c r="K99" s="336" t="s">
        <v>7619</v>
      </c>
      <c r="L99" s="2" t="s">
        <v>7459</v>
      </c>
    </row>
    <row r="100" spans="2:12" x14ac:dyDescent="0.25">
      <c r="B100" s="218" t="s">
        <v>4749</v>
      </c>
      <c r="C100" s="214" t="s">
        <v>7458</v>
      </c>
      <c r="D100" s="214" t="s">
        <v>7672</v>
      </c>
      <c r="E100" s="216">
        <f t="shared" si="1"/>
        <v>229.25</v>
      </c>
      <c r="F100" s="215">
        <v>229.25</v>
      </c>
      <c r="G100" s="215"/>
      <c r="H100" s="212"/>
      <c r="I100" s="335" t="str">
        <f>IFERROR(VLOOKUP($B100,'IA NARUC Table'!$B:$G,4,FALSE),"")</f>
        <v>Maintenance Expense</v>
      </c>
      <c r="J100" s="336" t="str">
        <f>IFERROR(VLOOKUP($B100,'IA NARUC Table'!$B:$G,5,FALSE),"")</f>
        <v>General Mains</v>
      </c>
      <c r="K100" s="336" t="s">
        <v>7619</v>
      </c>
      <c r="L100" s="2" t="s">
        <v>7459</v>
      </c>
    </row>
    <row r="101" spans="2:12" x14ac:dyDescent="0.25">
      <c r="B101" s="218" t="s">
        <v>4745</v>
      </c>
      <c r="C101" s="214" t="s">
        <v>7458</v>
      </c>
      <c r="D101" s="214" t="s">
        <v>7673</v>
      </c>
      <c r="E101" s="216">
        <f t="shared" si="1"/>
        <v>1606.88</v>
      </c>
      <c r="F101" s="215">
        <v>1606.88</v>
      </c>
      <c r="G101" s="215"/>
      <c r="H101" s="212"/>
      <c r="I101" s="335" t="str">
        <f>IFERROR(VLOOKUP($B101,'IA NARUC Table'!$B:$G,4,FALSE),"")</f>
        <v>Maintenance Expense</v>
      </c>
      <c r="J101" s="336" t="str">
        <f>IFERROR(VLOOKUP($B101,'IA NARUC Table'!$B:$G,5,FALSE),"")</f>
        <v>Hydrants</v>
      </c>
      <c r="K101" s="336" t="s">
        <v>7619</v>
      </c>
      <c r="L101" s="2" t="s">
        <v>7459</v>
      </c>
    </row>
    <row r="102" spans="2:12" x14ac:dyDescent="0.25">
      <c r="B102" s="218" t="s">
        <v>4743</v>
      </c>
      <c r="C102" s="214" t="s">
        <v>7450</v>
      </c>
      <c r="D102" s="214" t="s">
        <v>7674</v>
      </c>
      <c r="E102" s="216">
        <f t="shared" si="1"/>
        <v>0</v>
      </c>
      <c r="F102" s="215">
        <v>0</v>
      </c>
      <c r="G102" s="215"/>
      <c r="H102" s="212"/>
      <c r="I102" s="335" t="str">
        <f>IFERROR(VLOOKUP($B102,'IA NARUC Table'!$B:$G,4,FALSE),"")</f>
        <v>Operations Expense</v>
      </c>
      <c r="J102" s="336" t="str">
        <f>IFERROR(VLOOKUP($B102,'IA NARUC Table'!$B:$G,5,FALSE),"")</f>
        <v>Admin &amp; General</v>
      </c>
      <c r="K102" s="336" t="s">
        <v>7619</v>
      </c>
    </row>
    <row r="103" spans="2:12" x14ac:dyDescent="0.25">
      <c r="B103" s="218" t="s">
        <v>4742</v>
      </c>
      <c r="C103" s="214" t="s">
        <v>7450</v>
      </c>
      <c r="D103" s="214" t="s">
        <v>7675</v>
      </c>
      <c r="E103" s="216">
        <f t="shared" si="1"/>
        <v>133022</v>
      </c>
      <c r="F103" s="215">
        <v>133022</v>
      </c>
      <c r="G103" s="215"/>
      <c r="H103" s="212"/>
      <c r="I103" s="335" t="str">
        <f>IFERROR(VLOOKUP($B103,'IA NARUC Table'!$B:$G,4,FALSE),"")</f>
        <v>Operations Expense</v>
      </c>
      <c r="J103" s="336" t="str">
        <f>IFERROR(VLOOKUP($B103,'IA NARUC Table'!$B:$G,5,FALSE),"")</f>
        <v>Admin &amp; General</v>
      </c>
      <c r="K103" s="336" t="s">
        <v>7619</v>
      </c>
    </row>
    <row r="104" spans="2:12" x14ac:dyDescent="0.25">
      <c r="B104" s="218" t="s">
        <v>4741</v>
      </c>
      <c r="C104" s="214" t="s">
        <v>7450</v>
      </c>
      <c r="D104" s="214" t="s">
        <v>7676</v>
      </c>
      <c r="E104" s="216">
        <f t="shared" si="1"/>
        <v>0</v>
      </c>
      <c r="F104" s="215">
        <v>0</v>
      </c>
      <c r="G104" s="215"/>
      <c r="H104" s="212"/>
      <c r="I104" s="335" t="str">
        <f>IFERROR(VLOOKUP($B104,'IA NARUC Table'!$B:$G,4,FALSE),"")</f>
        <v>Operations Expense</v>
      </c>
      <c r="J104" s="336" t="str">
        <f>IFERROR(VLOOKUP($B104,'IA NARUC Table'!$B:$G,5,FALSE),"")</f>
        <v>Admin &amp; General</v>
      </c>
      <c r="K104" s="336" t="s">
        <v>7619</v>
      </c>
    </row>
    <row r="105" spans="2:12" x14ac:dyDescent="0.25">
      <c r="B105" s="218" t="s">
        <v>4740</v>
      </c>
      <c r="C105" s="214" t="s">
        <v>7450</v>
      </c>
      <c r="D105" s="214" t="s">
        <v>7677</v>
      </c>
      <c r="E105" s="216">
        <f t="shared" si="1"/>
        <v>31.72</v>
      </c>
      <c r="F105" s="215">
        <v>31.72</v>
      </c>
      <c r="G105" s="215"/>
      <c r="H105" s="212"/>
      <c r="I105" s="335" t="str">
        <f>IFERROR(VLOOKUP($B105,'IA NARUC Table'!$B:$G,4,FALSE),"")</f>
        <v>Operations Expense</v>
      </c>
      <c r="J105" s="336" t="str">
        <f>IFERROR(VLOOKUP($B105,'IA NARUC Table'!$B:$G,5,FALSE),"")</f>
        <v>Admin &amp; General</v>
      </c>
      <c r="K105" s="336" t="s">
        <v>7619</v>
      </c>
    </row>
    <row r="106" spans="2:12" x14ac:dyDescent="0.25">
      <c r="B106" s="218" t="s">
        <v>4739</v>
      </c>
      <c r="C106" s="214" t="s">
        <v>7450</v>
      </c>
      <c r="D106" s="214" t="s">
        <v>7678</v>
      </c>
      <c r="E106" s="216">
        <f t="shared" si="1"/>
        <v>28736.54</v>
      </c>
      <c r="F106" s="215">
        <v>28736.54</v>
      </c>
      <c r="G106" s="215"/>
      <c r="H106" s="212"/>
      <c r="I106" s="335" t="str">
        <f>IFERROR(VLOOKUP($B106,'IA NARUC Table'!$B:$G,4,FALSE),"")</f>
        <v>Operations Expense</v>
      </c>
      <c r="J106" s="336" t="str">
        <f>IFERROR(VLOOKUP($B106,'IA NARUC Table'!$B:$G,5,FALSE),"")</f>
        <v>Admin &amp; General</v>
      </c>
      <c r="K106" s="336" t="s">
        <v>7619</v>
      </c>
    </row>
    <row r="107" spans="2:12" x14ac:dyDescent="0.25">
      <c r="B107" s="218" t="s">
        <v>4738</v>
      </c>
      <c r="C107" s="214" t="s">
        <v>7450</v>
      </c>
      <c r="D107" s="214" t="s">
        <v>7679</v>
      </c>
      <c r="E107" s="216">
        <f t="shared" si="1"/>
        <v>0</v>
      </c>
      <c r="F107" s="215">
        <v>0</v>
      </c>
      <c r="G107" s="215"/>
      <c r="H107" s="212"/>
      <c r="I107" s="335" t="str">
        <f>IFERROR(VLOOKUP($B107,'IA NARUC Table'!$B:$G,4,FALSE),"")</f>
        <v>Operations Expense</v>
      </c>
      <c r="J107" s="336" t="str">
        <f>IFERROR(VLOOKUP($B107,'IA NARUC Table'!$B:$G,5,FALSE),"")</f>
        <v>Admin &amp; General</v>
      </c>
      <c r="K107" s="336" t="s">
        <v>7619</v>
      </c>
    </row>
    <row r="108" spans="2:12" x14ac:dyDescent="0.25">
      <c r="B108" s="218" t="s">
        <v>4708</v>
      </c>
      <c r="C108" s="214" t="s">
        <v>7459</v>
      </c>
      <c r="D108" s="214" t="s">
        <v>7681</v>
      </c>
      <c r="E108" s="216">
        <f t="shared" si="1"/>
        <v>322142</v>
      </c>
      <c r="F108" s="215">
        <v>322142</v>
      </c>
      <c r="G108" s="215"/>
      <c r="H108" s="212"/>
      <c r="I108" s="335" t="str">
        <f>IFERROR(VLOOKUP($B108,'IA NARUC Table'!$B:$G,4,FALSE),"")</f>
        <v>Operations Expense</v>
      </c>
      <c r="J108" s="336" t="str">
        <f>IFERROR(VLOOKUP($B108,'IA NARUC Table'!$B:$G,5,FALSE),"")</f>
        <v>Admin &amp; General</v>
      </c>
      <c r="K108" s="336" t="s">
        <v>7680</v>
      </c>
    </row>
    <row r="109" spans="2:12" x14ac:dyDescent="0.25">
      <c r="B109" s="218" t="s">
        <v>4707</v>
      </c>
      <c r="C109" s="214" t="s">
        <v>7459</v>
      </c>
      <c r="D109" s="214" t="s">
        <v>7682</v>
      </c>
      <c r="E109" s="216">
        <f t="shared" si="1"/>
        <v>-89366</v>
      </c>
      <c r="F109" s="215">
        <v>-89366</v>
      </c>
      <c r="G109" s="215"/>
      <c r="H109" s="212"/>
      <c r="I109" s="335" t="str">
        <f>IFERROR(VLOOKUP($B109,'IA NARUC Table'!$B:$G,4,FALSE),"")</f>
        <v>Operations Expense</v>
      </c>
      <c r="J109" s="336" t="str">
        <f>IFERROR(VLOOKUP($B109,'IA NARUC Table'!$B:$G,5,FALSE),"")</f>
        <v>Admin &amp; General</v>
      </c>
      <c r="K109" s="336" t="s">
        <v>7680</v>
      </c>
    </row>
    <row r="110" spans="2:12" x14ac:dyDescent="0.25">
      <c r="B110" s="218" t="s">
        <v>4225</v>
      </c>
      <c r="C110" s="214" t="s">
        <v>7459</v>
      </c>
      <c r="D110" s="214" t="s">
        <v>7683</v>
      </c>
      <c r="E110" s="216">
        <f t="shared" si="1"/>
        <v>-112237</v>
      </c>
      <c r="F110" s="215">
        <v>-112237</v>
      </c>
      <c r="G110" s="215"/>
      <c r="H110" s="212"/>
      <c r="I110" s="335" t="s">
        <v>6900</v>
      </c>
      <c r="J110" s="336" t="str">
        <f>IFERROR(VLOOKUP($B110,'IA NARUC Table'!$B:$G,5,FALSE),"")</f>
        <v>Admin &amp; General</v>
      </c>
      <c r="K110" s="336" t="s">
        <v>7680</v>
      </c>
      <c r="L110" s="2" t="s">
        <v>7459</v>
      </c>
    </row>
    <row r="111" spans="2:12" x14ac:dyDescent="0.25">
      <c r="B111" s="218" t="s">
        <v>4714</v>
      </c>
      <c r="C111" s="214" t="s">
        <v>7459</v>
      </c>
      <c r="D111" s="214" t="s">
        <v>7685</v>
      </c>
      <c r="E111" s="216">
        <f t="shared" si="1"/>
        <v>21208</v>
      </c>
      <c r="F111" s="215">
        <v>21208</v>
      </c>
      <c r="G111" s="215"/>
      <c r="H111" s="212"/>
      <c r="I111" s="335" t="str">
        <f>IFERROR(VLOOKUP($B111,'IA NARUC Table'!$B:$G,4,FALSE),"")</f>
        <v>Operations Expense</v>
      </c>
      <c r="J111" s="336" t="str">
        <f>IFERROR(VLOOKUP($B111,'IA NARUC Table'!$B:$G,5,FALSE),"")</f>
        <v>Admin &amp; General</v>
      </c>
      <c r="K111" s="336" t="s">
        <v>7684</v>
      </c>
    </row>
    <row r="112" spans="2:12" x14ac:dyDescent="0.25">
      <c r="B112" s="218" t="s">
        <v>4713</v>
      </c>
      <c r="C112" s="214" t="s">
        <v>7459</v>
      </c>
      <c r="D112" s="214" t="s">
        <v>7686</v>
      </c>
      <c r="E112" s="216">
        <f t="shared" si="1"/>
        <v>-5883</v>
      </c>
      <c r="F112" s="215">
        <v>-5883</v>
      </c>
      <c r="G112" s="215"/>
      <c r="H112" s="212"/>
      <c r="I112" s="335" t="str">
        <f>IFERROR(VLOOKUP($B112,'IA NARUC Table'!$B:$G,4,FALSE),"")</f>
        <v>Operations Expense</v>
      </c>
      <c r="J112" s="336" t="str">
        <f>IFERROR(VLOOKUP($B112,'IA NARUC Table'!$B:$G,5,FALSE),"")</f>
        <v>Admin &amp; General</v>
      </c>
      <c r="K112" s="336" t="s">
        <v>7684</v>
      </c>
    </row>
    <row r="113" spans="2:12" x14ac:dyDescent="0.25">
      <c r="B113" s="218" t="s">
        <v>4712</v>
      </c>
      <c r="C113" s="214" t="s">
        <v>7459</v>
      </c>
      <c r="D113" s="214" t="s">
        <v>7687</v>
      </c>
      <c r="E113" s="216">
        <f t="shared" si="1"/>
        <v>791807</v>
      </c>
      <c r="F113" s="215">
        <v>791807</v>
      </c>
      <c r="G113" s="215"/>
      <c r="H113" s="212"/>
      <c r="I113" s="335" t="str">
        <f>IFERROR(VLOOKUP($B113,'IA NARUC Table'!$B:$G,4,FALSE),"")</f>
        <v>Operations Expense</v>
      </c>
      <c r="J113" s="336" t="str">
        <f>IFERROR(VLOOKUP($B113,'IA NARUC Table'!$B:$G,5,FALSE),"")</f>
        <v>Admin &amp; General</v>
      </c>
      <c r="K113" s="336" t="s">
        <v>7684</v>
      </c>
    </row>
    <row r="114" spans="2:12" x14ac:dyDescent="0.25">
      <c r="B114" s="218" t="s">
        <v>4711</v>
      </c>
      <c r="C114" s="214" t="s">
        <v>7459</v>
      </c>
      <c r="D114" s="214" t="s">
        <v>7688</v>
      </c>
      <c r="E114" s="216">
        <f t="shared" si="1"/>
        <v>0</v>
      </c>
      <c r="F114" s="215">
        <v>0</v>
      </c>
      <c r="G114" s="215"/>
      <c r="H114" s="212"/>
      <c r="I114" s="335" t="str">
        <f>IFERROR(VLOOKUP($B114,'IA NARUC Table'!$B:$G,4,FALSE),"")</f>
        <v>Operations Expense</v>
      </c>
      <c r="J114" s="336" t="str">
        <f>IFERROR(VLOOKUP($B114,'IA NARUC Table'!$B:$G,5,FALSE),"")</f>
        <v>Admin &amp; General</v>
      </c>
      <c r="K114" s="336" t="s">
        <v>7684</v>
      </c>
    </row>
    <row r="115" spans="2:12" x14ac:dyDescent="0.25">
      <c r="B115" s="218" t="s">
        <v>4710</v>
      </c>
      <c r="C115" s="214" t="s">
        <v>7459</v>
      </c>
      <c r="D115" s="214" t="s">
        <v>7689</v>
      </c>
      <c r="E115" s="216">
        <f t="shared" si="1"/>
        <v>0</v>
      </c>
      <c r="F115" s="215">
        <v>0</v>
      </c>
      <c r="G115" s="215"/>
      <c r="H115" s="212"/>
      <c r="I115" s="335" t="str">
        <f>IFERROR(VLOOKUP($B115,'IA NARUC Table'!$B:$G,4,FALSE),"")</f>
        <v>Operations Expense</v>
      </c>
      <c r="J115" s="336" t="str">
        <f>IFERROR(VLOOKUP($B115,'IA NARUC Table'!$B:$G,5,FALSE),"")</f>
        <v>Admin &amp; General</v>
      </c>
      <c r="K115" s="336" t="s">
        <v>7684</v>
      </c>
    </row>
    <row r="116" spans="2:12" x14ac:dyDescent="0.25">
      <c r="B116" s="218" t="s">
        <v>4223</v>
      </c>
      <c r="C116" s="214" t="s">
        <v>7459</v>
      </c>
      <c r="D116" s="214" t="s">
        <v>7690</v>
      </c>
      <c r="E116" s="216">
        <f t="shared" si="1"/>
        <v>-207219</v>
      </c>
      <c r="F116" s="215">
        <v>-207219</v>
      </c>
      <c r="G116" s="215"/>
      <c r="H116" s="212"/>
      <c r="I116" s="335" t="s">
        <v>6900</v>
      </c>
      <c r="J116" s="336" t="str">
        <f>IFERROR(VLOOKUP($B116,'IA NARUC Table'!$B:$G,5,FALSE),"")</f>
        <v>Admin &amp; General</v>
      </c>
      <c r="K116" s="336" t="s">
        <v>7684</v>
      </c>
      <c r="L116" s="2" t="s">
        <v>7496</v>
      </c>
    </row>
    <row r="117" spans="2:12" x14ac:dyDescent="0.25">
      <c r="B117" s="218" t="s">
        <v>4737</v>
      </c>
      <c r="C117" s="214" t="s">
        <v>7459</v>
      </c>
      <c r="D117" s="214" t="s">
        <v>7692</v>
      </c>
      <c r="E117" s="216">
        <f t="shared" si="1"/>
        <v>186560</v>
      </c>
      <c r="F117" s="215">
        <v>186560</v>
      </c>
      <c r="G117" s="215"/>
      <c r="H117" s="212"/>
      <c r="I117" s="335" t="str">
        <f>IFERROR(VLOOKUP($B117,'IA NARUC Table'!$B:$G,4,FALSE),"")</f>
        <v>Operations Expense</v>
      </c>
      <c r="J117" s="336" t="str">
        <f>IFERROR(VLOOKUP($B117,'IA NARUC Table'!$B:$G,5,FALSE),"")</f>
        <v>Admin &amp; General</v>
      </c>
      <c r="K117" s="336" t="s">
        <v>7691</v>
      </c>
    </row>
    <row r="118" spans="2:12" x14ac:dyDescent="0.25">
      <c r="B118" s="218" t="s">
        <v>4736</v>
      </c>
      <c r="C118" s="214" t="s">
        <v>7459</v>
      </c>
      <c r="D118" s="214" t="s">
        <v>7693</v>
      </c>
      <c r="E118" s="216">
        <f t="shared" si="1"/>
        <v>-50724</v>
      </c>
      <c r="F118" s="215">
        <v>-50724</v>
      </c>
      <c r="G118" s="215"/>
      <c r="H118" s="212"/>
      <c r="I118" s="335" t="str">
        <f>IFERROR(VLOOKUP($B118,'IA NARUC Table'!$B:$G,4,FALSE),"")</f>
        <v>Operations Expense</v>
      </c>
      <c r="J118" s="336" t="str">
        <f>IFERROR(VLOOKUP($B118,'IA NARUC Table'!$B:$G,5,FALSE),"")</f>
        <v>Admin &amp; General</v>
      </c>
      <c r="K118" s="336" t="s">
        <v>7691</v>
      </c>
    </row>
    <row r="119" spans="2:12" x14ac:dyDescent="0.25">
      <c r="B119" s="218" t="s">
        <v>4735</v>
      </c>
      <c r="C119" s="214" t="s">
        <v>7459</v>
      </c>
      <c r="D119" s="214" t="s">
        <v>7694</v>
      </c>
      <c r="E119" s="216">
        <f t="shared" si="1"/>
        <v>213657</v>
      </c>
      <c r="F119" s="215">
        <v>213657</v>
      </c>
      <c r="G119" s="215"/>
      <c r="H119" s="212"/>
      <c r="I119" s="335" t="str">
        <f>IFERROR(VLOOKUP($B119,'IA NARUC Table'!$B:$G,4,FALSE),"")</f>
        <v>Operations Expense</v>
      </c>
      <c r="J119" s="336" t="str">
        <f>IFERROR(VLOOKUP($B119,'IA NARUC Table'!$B:$G,5,FALSE),"")</f>
        <v>Admin &amp; General</v>
      </c>
      <c r="K119" s="336" t="s">
        <v>7691</v>
      </c>
    </row>
    <row r="120" spans="2:12" x14ac:dyDescent="0.25">
      <c r="B120" s="218" t="s">
        <v>4734</v>
      </c>
      <c r="C120" s="214" t="s">
        <v>7459</v>
      </c>
      <c r="D120" s="214" t="s">
        <v>7695</v>
      </c>
      <c r="E120" s="216">
        <f t="shared" si="1"/>
        <v>-54186</v>
      </c>
      <c r="F120" s="215">
        <v>-54186</v>
      </c>
      <c r="G120" s="215"/>
      <c r="H120" s="212"/>
      <c r="I120" s="335" t="str">
        <f>IFERROR(VLOOKUP($B120,'IA NARUC Table'!$B:$G,4,FALSE),"")</f>
        <v>Operations Expense</v>
      </c>
      <c r="J120" s="336" t="str">
        <f>IFERROR(VLOOKUP($B120,'IA NARUC Table'!$B:$G,5,FALSE),"")</f>
        <v>Admin &amp; General</v>
      </c>
      <c r="K120" s="336" t="s">
        <v>7691</v>
      </c>
    </row>
    <row r="121" spans="2:12" x14ac:dyDescent="0.25">
      <c r="B121" s="218" t="s">
        <v>4733</v>
      </c>
      <c r="C121" s="214" t="s">
        <v>7459</v>
      </c>
      <c r="D121" s="214" t="s">
        <v>7696</v>
      </c>
      <c r="E121" s="216">
        <f t="shared" si="1"/>
        <v>8085</v>
      </c>
      <c r="F121" s="215">
        <v>8085</v>
      </c>
      <c r="G121" s="215"/>
      <c r="H121" s="212"/>
      <c r="I121" s="335" t="str">
        <f>IFERROR(VLOOKUP($B121,'IA NARUC Table'!$B:$G,4,FALSE),"")</f>
        <v>Operations Expense</v>
      </c>
      <c r="J121" s="336" t="str">
        <f>IFERROR(VLOOKUP($B121,'IA NARUC Table'!$B:$G,5,FALSE),"")</f>
        <v>Admin &amp; General</v>
      </c>
      <c r="K121" s="336" t="s">
        <v>7691</v>
      </c>
    </row>
    <row r="122" spans="2:12" x14ac:dyDescent="0.25">
      <c r="B122" s="218" t="s">
        <v>4732</v>
      </c>
      <c r="C122" s="214" t="s">
        <v>7459</v>
      </c>
      <c r="D122" s="214" t="s">
        <v>7697</v>
      </c>
      <c r="E122" s="216">
        <f t="shared" si="1"/>
        <v>3107</v>
      </c>
      <c r="F122" s="215">
        <v>3107</v>
      </c>
      <c r="G122" s="215"/>
      <c r="H122" s="212"/>
      <c r="I122" s="335" t="str">
        <f>IFERROR(VLOOKUP($B122,'IA NARUC Table'!$B:$G,4,FALSE),"")</f>
        <v>Operations Expense</v>
      </c>
      <c r="J122" s="336" t="str">
        <f>IFERROR(VLOOKUP($B122,'IA NARUC Table'!$B:$G,5,FALSE),"")</f>
        <v>Admin &amp; General</v>
      </c>
      <c r="K122" s="336" t="s">
        <v>7691</v>
      </c>
    </row>
    <row r="123" spans="2:12" x14ac:dyDescent="0.25">
      <c r="B123" s="218" t="s">
        <v>4730</v>
      </c>
      <c r="C123" s="214" t="s">
        <v>7459</v>
      </c>
      <c r="D123" s="214" t="s">
        <v>7698</v>
      </c>
      <c r="E123" s="216">
        <f t="shared" si="1"/>
        <v>24000</v>
      </c>
      <c r="F123" s="215">
        <v>24000</v>
      </c>
      <c r="G123" s="215"/>
      <c r="H123" s="212"/>
      <c r="I123" s="335" t="str">
        <f>IFERROR(VLOOKUP($B123,'IA NARUC Table'!$B:$G,4,FALSE),"")</f>
        <v>Operations Expense</v>
      </c>
      <c r="J123" s="336" t="str">
        <f>IFERROR(VLOOKUP($B123,'IA NARUC Table'!$B:$G,5,FALSE),"")</f>
        <v>Admin &amp; General</v>
      </c>
      <c r="K123" s="336" t="s">
        <v>7691</v>
      </c>
    </row>
    <row r="124" spans="2:12" x14ac:dyDescent="0.25">
      <c r="B124" s="218" t="s">
        <v>4729</v>
      </c>
      <c r="C124" s="214" t="s">
        <v>7459</v>
      </c>
      <c r="D124" s="214" t="s">
        <v>7699</v>
      </c>
      <c r="E124" s="216">
        <f t="shared" si="1"/>
        <v>-5625</v>
      </c>
      <c r="F124" s="215">
        <v>-5625</v>
      </c>
      <c r="G124" s="215"/>
      <c r="H124" s="212"/>
      <c r="I124" s="335" t="str">
        <f>IFERROR(VLOOKUP($B124,'IA NARUC Table'!$B:$G,4,FALSE),"")</f>
        <v>Operations Expense</v>
      </c>
      <c r="J124" s="336" t="str">
        <f>IFERROR(VLOOKUP($B124,'IA NARUC Table'!$B:$G,5,FALSE),"")</f>
        <v>Admin &amp; General</v>
      </c>
      <c r="K124" s="336" t="s">
        <v>7691</v>
      </c>
    </row>
    <row r="125" spans="2:12" x14ac:dyDescent="0.25">
      <c r="B125" s="218" t="s">
        <v>4725</v>
      </c>
      <c r="C125" s="214" t="s">
        <v>7460</v>
      </c>
      <c r="D125" s="214" t="s">
        <v>7700</v>
      </c>
      <c r="E125" s="216">
        <f t="shared" si="1"/>
        <v>353</v>
      </c>
      <c r="F125" s="215">
        <v>353</v>
      </c>
      <c r="G125" s="215"/>
      <c r="H125" s="212"/>
      <c r="I125" s="335" t="str">
        <f>IFERROR(VLOOKUP($B125,'IA NARUC Table'!$B:$G,4,FALSE),"")</f>
        <v>Operations Expense</v>
      </c>
      <c r="J125" s="336" t="str">
        <f>IFERROR(VLOOKUP($B125,'IA NARUC Table'!$B:$G,5,FALSE),"")</f>
        <v>Pumping</v>
      </c>
      <c r="K125" s="336" t="s">
        <v>7691</v>
      </c>
    </row>
    <row r="126" spans="2:12" x14ac:dyDescent="0.25">
      <c r="B126" s="218" t="s">
        <v>4724</v>
      </c>
      <c r="C126" s="214" t="s">
        <v>7461</v>
      </c>
      <c r="D126" s="214" t="s">
        <v>7701</v>
      </c>
      <c r="E126" s="216">
        <f t="shared" si="1"/>
        <v>0</v>
      </c>
      <c r="F126" s="215">
        <v>0</v>
      </c>
      <c r="G126" s="215"/>
      <c r="H126" s="212"/>
      <c r="I126" s="335" t="str">
        <f>IFERROR(VLOOKUP($B126,'IA NARUC Table'!$B:$G,4,FALSE),"")</f>
        <v>Operations Expense</v>
      </c>
      <c r="J126" s="336" t="str">
        <f>IFERROR(VLOOKUP($B126,'IA NARUC Table'!$B:$G,5,FALSE),"")</f>
        <v>Water Treatment</v>
      </c>
      <c r="K126" s="336" t="s">
        <v>7691</v>
      </c>
    </row>
    <row r="127" spans="2:12" x14ac:dyDescent="0.25">
      <c r="B127" s="218" t="s">
        <v>4723</v>
      </c>
      <c r="C127" s="214" t="s">
        <v>7462</v>
      </c>
      <c r="D127" s="214" t="s">
        <v>7702</v>
      </c>
      <c r="E127" s="216">
        <f t="shared" si="1"/>
        <v>73</v>
      </c>
      <c r="F127" s="215">
        <v>73</v>
      </c>
      <c r="G127" s="215"/>
      <c r="H127" s="212"/>
      <c r="I127" s="335" t="str">
        <f>IFERROR(VLOOKUP($B127,'IA NARUC Table'!$B:$G,4,FALSE),"")</f>
        <v>Operations Expense</v>
      </c>
      <c r="J127" s="336" t="str">
        <f>IFERROR(VLOOKUP($B127,'IA NARUC Table'!$B:$G,5,FALSE),"")</f>
        <v>General T/D</v>
      </c>
      <c r="K127" s="336" t="s">
        <v>7691</v>
      </c>
    </row>
    <row r="128" spans="2:12" x14ac:dyDescent="0.25">
      <c r="B128" s="218" t="s">
        <v>4722</v>
      </c>
      <c r="C128" s="214" t="s">
        <v>7463</v>
      </c>
      <c r="D128" s="214" t="s">
        <v>7703</v>
      </c>
      <c r="E128" s="216">
        <f t="shared" si="1"/>
        <v>146</v>
      </c>
      <c r="F128" s="215">
        <v>146</v>
      </c>
      <c r="G128" s="215"/>
      <c r="H128" s="212"/>
      <c r="I128" s="335" t="str">
        <f>IFERROR(VLOOKUP($B128,'IA NARUC Table'!$B:$G,4,FALSE),"")</f>
        <v>Operations Expense</v>
      </c>
      <c r="J128" s="336" t="str">
        <f>IFERROR(VLOOKUP($B128,'IA NARUC Table'!$B:$G,5,FALSE),"")</f>
        <v>Customer Accounting</v>
      </c>
      <c r="K128" s="336" t="s">
        <v>7691</v>
      </c>
    </row>
    <row r="129" spans="2:11" x14ac:dyDescent="0.25">
      <c r="B129" s="218" t="s">
        <v>4721</v>
      </c>
      <c r="C129" s="214" t="s">
        <v>7459</v>
      </c>
      <c r="D129" s="214" t="s">
        <v>7704</v>
      </c>
      <c r="E129" s="216">
        <f t="shared" si="1"/>
        <v>12674</v>
      </c>
      <c r="F129" s="215">
        <v>12674</v>
      </c>
      <c r="G129" s="215"/>
      <c r="H129" s="212"/>
      <c r="I129" s="335" t="str">
        <f>IFERROR(VLOOKUP($B129,'IA NARUC Table'!$B:$G,4,FALSE),"")</f>
        <v>Operations Expense</v>
      </c>
      <c r="J129" s="336" t="str">
        <f>IFERROR(VLOOKUP($B129,'IA NARUC Table'!$B:$G,5,FALSE),"")</f>
        <v>Admin &amp; General</v>
      </c>
      <c r="K129" s="336" t="s">
        <v>7691</v>
      </c>
    </row>
    <row r="130" spans="2:11" x14ac:dyDescent="0.25">
      <c r="B130" s="218" t="s">
        <v>4720</v>
      </c>
      <c r="C130" s="214" t="s">
        <v>7459</v>
      </c>
      <c r="D130" s="214" t="s">
        <v>7705</v>
      </c>
      <c r="E130" s="216">
        <f t="shared" si="1"/>
        <v>2978</v>
      </c>
      <c r="F130" s="215">
        <v>2978</v>
      </c>
      <c r="G130" s="215"/>
      <c r="H130" s="212"/>
      <c r="I130" s="335" t="str">
        <f>IFERROR(VLOOKUP($B130,'IA NARUC Table'!$B:$G,4,FALSE),"")</f>
        <v>Operations Expense</v>
      </c>
      <c r="J130" s="336" t="str">
        <f>IFERROR(VLOOKUP($B130,'IA NARUC Table'!$B:$G,5,FALSE),"")</f>
        <v>Admin &amp; General</v>
      </c>
      <c r="K130" s="336" t="s">
        <v>7691</v>
      </c>
    </row>
    <row r="131" spans="2:11" x14ac:dyDescent="0.25">
      <c r="B131" s="218" t="s">
        <v>4719</v>
      </c>
      <c r="C131" s="214" t="s">
        <v>7459</v>
      </c>
      <c r="D131" s="214" t="s">
        <v>7706</v>
      </c>
      <c r="E131" s="216">
        <f t="shared" si="1"/>
        <v>202</v>
      </c>
      <c r="F131" s="215">
        <v>202</v>
      </c>
      <c r="G131" s="215"/>
      <c r="H131" s="212"/>
      <c r="I131" s="335" t="str">
        <f>IFERROR(VLOOKUP($B131,'IA NARUC Table'!$B:$G,4,FALSE),"")</f>
        <v>Operations Expense</v>
      </c>
      <c r="J131" s="336" t="str">
        <f>IFERROR(VLOOKUP($B131,'IA NARUC Table'!$B:$G,5,FALSE),"")</f>
        <v>Admin &amp; General</v>
      </c>
      <c r="K131" s="336" t="s">
        <v>7691</v>
      </c>
    </row>
    <row r="132" spans="2:11" x14ac:dyDescent="0.25">
      <c r="B132" s="218" t="s">
        <v>4718</v>
      </c>
      <c r="C132" s="214" t="s">
        <v>7459</v>
      </c>
      <c r="D132" s="214" t="s">
        <v>7707</v>
      </c>
      <c r="E132" s="216">
        <f t="shared" si="1"/>
        <v>1487</v>
      </c>
      <c r="F132" s="215">
        <v>1487</v>
      </c>
      <c r="G132" s="215"/>
      <c r="H132" s="212"/>
      <c r="I132" s="335" t="str">
        <f>IFERROR(VLOOKUP($B132,'IA NARUC Table'!$B:$G,4,FALSE),"")</f>
        <v>Operations Expense</v>
      </c>
      <c r="J132" s="336" t="str">
        <f>IFERROR(VLOOKUP($B132,'IA NARUC Table'!$B:$G,5,FALSE),"")</f>
        <v>Admin &amp; General</v>
      </c>
      <c r="K132" s="336" t="s">
        <v>7691</v>
      </c>
    </row>
    <row r="133" spans="2:11" x14ac:dyDescent="0.25">
      <c r="B133" s="218" t="s">
        <v>4717</v>
      </c>
      <c r="C133" s="214" t="s">
        <v>7459</v>
      </c>
      <c r="D133" s="214" t="s">
        <v>7708</v>
      </c>
      <c r="E133" s="216">
        <f t="shared" si="1"/>
        <v>2640</v>
      </c>
      <c r="F133" s="215">
        <v>2640</v>
      </c>
      <c r="G133" s="215"/>
      <c r="H133" s="212"/>
      <c r="I133" s="335" t="str">
        <f>IFERROR(VLOOKUP($B133,'IA NARUC Table'!$B:$G,4,FALSE),"")</f>
        <v>Operations Expense</v>
      </c>
      <c r="J133" s="336" t="str">
        <f>IFERROR(VLOOKUP($B133,'IA NARUC Table'!$B:$G,5,FALSE),"")</f>
        <v>Admin &amp; General</v>
      </c>
      <c r="K133" s="336" t="s">
        <v>7691</v>
      </c>
    </row>
    <row r="134" spans="2:11" x14ac:dyDescent="0.25">
      <c r="B134" s="218" t="s">
        <v>4716</v>
      </c>
      <c r="C134" s="214" t="s">
        <v>7459</v>
      </c>
      <c r="D134" s="214" t="s">
        <v>7709</v>
      </c>
      <c r="E134" s="216">
        <f t="shared" si="1"/>
        <v>22076</v>
      </c>
      <c r="F134" s="215">
        <v>22076</v>
      </c>
      <c r="G134" s="215"/>
      <c r="H134" s="26"/>
      <c r="I134" s="335" t="str">
        <f>IFERROR(VLOOKUP($B134,'IA NARUC Table'!$B:$G,4,FALSE),"")</f>
        <v>Operations Expense</v>
      </c>
      <c r="J134" s="336" t="str">
        <f>IFERROR(VLOOKUP($B134,'IA NARUC Table'!$B:$G,5,FALSE),"")</f>
        <v>Admin &amp; General</v>
      </c>
      <c r="K134" s="336" t="s">
        <v>7691</v>
      </c>
    </row>
    <row r="135" spans="2:11" x14ac:dyDescent="0.25">
      <c r="B135" s="218" t="s">
        <v>4715</v>
      </c>
      <c r="C135" s="214" t="s">
        <v>7459</v>
      </c>
      <c r="D135" s="214" t="s">
        <v>7710</v>
      </c>
      <c r="E135" s="216">
        <f t="shared" ref="E135:E198" si="2">SUM(F135:G135)</f>
        <v>6166</v>
      </c>
      <c r="F135" s="215">
        <v>6166</v>
      </c>
      <c r="G135" s="215"/>
      <c r="H135" s="212"/>
      <c r="I135" s="335" t="str">
        <f>IFERROR(VLOOKUP($B135,'IA NARUC Table'!$B:$G,4,FALSE),"")</f>
        <v>Operations Expense</v>
      </c>
      <c r="J135" s="336" t="str">
        <f>IFERROR(VLOOKUP($B135,'IA NARUC Table'!$B:$G,5,FALSE),"")</f>
        <v>Admin &amp; General</v>
      </c>
      <c r="K135" s="336" t="s">
        <v>7691</v>
      </c>
    </row>
    <row r="136" spans="2:11" x14ac:dyDescent="0.25">
      <c r="B136" s="218" t="s">
        <v>4485</v>
      </c>
      <c r="C136" s="214" t="s">
        <v>7496</v>
      </c>
      <c r="D136" s="214" t="s">
        <v>7711</v>
      </c>
      <c r="E136" s="216">
        <f t="shared" si="2"/>
        <v>2573446.72962484</v>
      </c>
      <c r="F136" s="215">
        <v>2573446.72962484</v>
      </c>
      <c r="G136" s="215"/>
      <c r="H136" s="26"/>
      <c r="I136" s="335" t="str">
        <f>IFERROR(VLOOKUP($B136,'IA NARUC Table'!$B:$G,4,FALSE),"")</f>
        <v>Operations Expense</v>
      </c>
      <c r="J136" s="336" t="str">
        <f>IFERROR(VLOOKUP($B136,'IA NARUC Table'!$B:$G,5,FALSE),"")</f>
        <v>Admin &amp; General</v>
      </c>
      <c r="K136" s="337" t="s">
        <v>8189</v>
      </c>
    </row>
    <row r="137" spans="2:11" x14ac:dyDescent="0.25">
      <c r="B137" s="218" t="s">
        <v>4484</v>
      </c>
      <c r="C137" s="214" t="s">
        <v>7496</v>
      </c>
      <c r="D137" s="214" t="s">
        <v>7712</v>
      </c>
      <c r="E137" s="216">
        <f t="shared" si="2"/>
        <v>211798.1495909451</v>
      </c>
      <c r="F137" s="215">
        <v>211798.1495909451</v>
      </c>
      <c r="G137" s="215"/>
      <c r="H137" s="212"/>
      <c r="I137" s="335" t="str">
        <f>IFERROR(VLOOKUP($B137,'IA NARUC Table'!$B:$G,4,FALSE),"")</f>
        <v>Operations Expense</v>
      </c>
      <c r="J137" s="336" t="str">
        <f>IFERROR(VLOOKUP($B137,'IA NARUC Table'!$B:$G,5,FALSE),"")</f>
        <v>Admin &amp; General</v>
      </c>
      <c r="K137" s="337" t="s">
        <v>8189</v>
      </c>
    </row>
    <row r="138" spans="2:11" x14ac:dyDescent="0.25">
      <c r="B138" s="218" t="s">
        <v>4483</v>
      </c>
      <c r="C138" s="214" t="s">
        <v>7496</v>
      </c>
      <c r="D138" s="214" t="s">
        <v>7713</v>
      </c>
      <c r="E138" s="216">
        <f t="shared" si="2"/>
        <v>254697.24149166438</v>
      </c>
      <c r="F138" s="215">
        <v>254697.24149166438</v>
      </c>
      <c r="G138" s="215"/>
      <c r="H138" s="212"/>
      <c r="I138" s="335" t="str">
        <f>IFERROR(VLOOKUP($B138,'IA NARUC Table'!$B:$G,4,FALSE),"")</f>
        <v>Operations Expense</v>
      </c>
      <c r="J138" s="336" t="str">
        <f>IFERROR(VLOOKUP($B138,'IA NARUC Table'!$B:$G,5,FALSE),"")</f>
        <v>Admin &amp; General</v>
      </c>
      <c r="K138" s="337" t="s">
        <v>8189</v>
      </c>
    </row>
    <row r="139" spans="2:11" x14ac:dyDescent="0.25">
      <c r="B139" s="218" t="s">
        <v>4482</v>
      </c>
      <c r="C139" s="214" t="s">
        <v>7496</v>
      </c>
      <c r="D139" s="214" t="s">
        <v>7714</v>
      </c>
      <c r="E139" s="216">
        <f t="shared" si="2"/>
        <v>185774.19362938555</v>
      </c>
      <c r="F139" s="215">
        <v>185774.19362938555</v>
      </c>
      <c r="G139" s="215"/>
      <c r="H139" s="212"/>
      <c r="I139" s="335" t="str">
        <f>IFERROR(VLOOKUP($B139,'IA NARUC Table'!$B:$G,4,FALSE),"")</f>
        <v>Operations Expense</v>
      </c>
      <c r="J139" s="336" t="str">
        <f>IFERROR(VLOOKUP($B139,'IA NARUC Table'!$B:$G,5,FALSE),"")</f>
        <v>Admin &amp; General</v>
      </c>
      <c r="K139" s="337" t="s">
        <v>8188</v>
      </c>
    </row>
    <row r="140" spans="2:11" x14ac:dyDescent="0.25">
      <c r="B140" s="218" t="s">
        <v>4481</v>
      </c>
      <c r="C140" s="214" t="s">
        <v>7496</v>
      </c>
      <c r="D140" s="214" t="s">
        <v>7715</v>
      </c>
      <c r="E140" s="216">
        <f t="shared" si="2"/>
        <v>726101.78504097112</v>
      </c>
      <c r="F140" s="215">
        <v>726101.78504097112</v>
      </c>
      <c r="G140" s="215"/>
      <c r="H140" s="212"/>
      <c r="I140" s="335" t="str">
        <f>IFERROR(VLOOKUP($B140,'IA NARUC Table'!$B:$G,4,FALSE),"")</f>
        <v>Operations Expense</v>
      </c>
      <c r="J140" s="336" t="str">
        <f>IFERROR(VLOOKUP($B140,'IA NARUC Table'!$B:$G,5,FALSE),"")</f>
        <v>Admin &amp; General</v>
      </c>
      <c r="K140" s="337" t="s">
        <v>8188</v>
      </c>
    </row>
    <row r="141" spans="2:11" x14ac:dyDescent="0.25">
      <c r="B141" s="218" t="s">
        <v>4480</v>
      </c>
      <c r="C141" s="214" t="s">
        <v>7496</v>
      </c>
      <c r="D141" s="214" t="s">
        <v>7716</v>
      </c>
      <c r="E141" s="216">
        <f t="shared" si="2"/>
        <v>172735.58152918104</v>
      </c>
      <c r="F141" s="215">
        <v>172735.58152918104</v>
      </c>
      <c r="G141" s="215"/>
      <c r="H141" s="212"/>
      <c r="I141" s="335" t="str">
        <f>IFERROR(VLOOKUP($B141,'IA NARUC Table'!$B:$G,4,FALSE),"")</f>
        <v>Operations Expense</v>
      </c>
      <c r="J141" s="336" t="str">
        <f>IFERROR(VLOOKUP($B141,'IA NARUC Table'!$B:$G,5,FALSE),"")</f>
        <v>Admin &amp; General</v>
      </c>
      <c r="K141" s="337" t="s">
        <v>8188</v>
      </c>
    </row>
    <row r="142" spans="2:11" x14ac:dyDescent="0.25">
      <c r="B142" s="218" t="s">
        <v>4479</v>
      </c>
      <c r="C142" s="214" t="s">
        <v>7496</v>
      </c>
      <c r="D142" s="214" t="s">
        <v>7717</v>
      </c>
      <c r="E142" s="216">
        <f t="shared" si="2"/>
        <v>193145.79150107963</v>
      </c>
      <c r="F142" s="215">
        <v>193145.79150107963</v>
      </c>
      <c r="G142" s="215"/>
      <c r="H142" s="26"/>
      <c r="I142" s="335" t="str">
        <f>IFERROR(VLOOKUP($B142,'IA NARUC Table'!$B:$G,4,FALSE),"")</f>
        <v>Operations Expense</v>
      </c>
      <c r="J142" s="336" t="str">
        <f>IFERROR(VLOOKUP($B142,'IA NARUC Table'!$B:$G,5,FALSE),"")</f>
        <v>Admin &amp; General</v>
      </c>
      <c r="K142" s="337" t="s">
        <v>8188</v>
      </c>
    </row>
    <row r="143" spans="2:11" x14ac:dyDescent="0.25">
      <c r="B143" s="218" t="s">
        <v>4478</v>
      </c>
      <c r="C143" s="214" t="s">
        <v>7496</v>
      </c>
      <c r="D143" s="214" t="s">
        <v>7718</v>
      </c>
      <c r="E143" s="216">
        <f t="shared" si="2"/>
        <v>116814.8265133457</v>
      </c>
      <c r="F143" s="215">
        <v>116814.8265133457</v>
      </c>
      <c r="G143" s="215"/>
      <c r="H143" s="212"/>
      <c r="I143" s="335" t="str">
        <f>IFERROR(VLOOKUP($B143,'IA NARUC Table'!$B:$G,4,FALSE),"")</f>
        <v>Operations Expense</v>
      </c>
      <c r="J143" s="336" t="str">
        <f>IFERROR(VLOOKUP($B143,'IA NARUC Table'!$B:$G,5,FALSE),"")</f>
        <v>Admin &amp; General</v>
      </c>
      <c r="K143" s="337" t="s">
        <v>8188</v>
      </c>
    </row>
    <row r="144" spans="2:11" x14ac:dyDescent="0.25">
      <c r="B144" s="218" t="s">
        <v>4477</v>
      </c>
      <c r="C144" s="214" t="s">
        <v>7496</v>
      </c>
      <c r="D144" s="214" t="s">
        <v>7719</v>
      </c>
      <c r="E144" s="216">
        <f t="shared" si="2"/>
        <v>337706.10660425702</v>
      </c>
      <c r="F144" s="215">
        <v>337706.10660425702</v>
      </c>
      <c r="G144" s="215"/>
      <c r="H144" s="212"/>
      <c r="I144" s="335" t="str">
        <f>IFERROR(VLOOKUP($B144,'IA NARUC Table'!$B:$G,4,FALSE),"")</f>
        <v>Operations Expense</v>
      </c>
      <c r="J144" s="336" t="str">
        <f>IFERROR(VLOOKUP($B144,'IA NARUC Table'!$B:$G,5,FALSE),"")</f>
        <v>Admin &amp; General</v>
      </c>
      <c r="K144" s="337" t="s">
        <v>8188</v>
      </c>
    </row>
    <row r="145" spans="2:11" x14ac:dyDescent="0.25">
      <c r="B145" s="218" t="s">
        <v>4476</v>
      </c>
      <c r="C145" s="214" t="s">
        <v>7496</v>
      </c>
      <c r="D145" s="214" t="s">
        <v>7720</v>
      </c>
      <c r="E145" s="216">
        <f t="shared" si="2"/>
        <v>530874.90029938531</v>
      </c>
      <c r="F145" s="215">
        <v>530874.90029938531</v>
      </c>
      <c r="G145" s="215"/>
      <c r="H145" s="212"/>
      <c r="I145" s="335" t="str">
        <f>IFERROR(VLOOKUP($B145,'IA NARUC Table'!$B:$G,4,FALSE),"")</f>
        <v>Operations Expense</v>
      </c>
      <c r="J145" s="336" t="str">
        <f>IFERROR(VLOOKUP($B145,'IA NARUC Table'!$B:$G,5,FALSE),"")</f>
        <v>Admin &amp; General</v>
      </c>
      <c r="K145" s="337" t="s">
        <v>8188</v>
      </c>
    </row>
    <row r="146" spans="2:11" x14ac:dyDescent="0.25">
      <c r="B146" s="218" t="s">
        <v>4475</v>
      </c>
      <c r="C146" s="214" t="s">
        <v>7496</v>
      </c>
      <c r="D146" s="214" t="s">
        <v>7721</v>
      </c>
      <c r="E146" s="216">
        <f t="shared" si="2"/>
        <v>193593.72896413214</v>
      </c>
      <c r="F146" s="215">
        <v>193593.72896413214</v>
      </c>
      <c r="G146" s="215"/>
      <c r="H146" s="212"/>
      <c r="I146" s="335" t="str">
        <f>IFERROR(VLOOKUP($B146,'IA NARUC Table'!$B:$G,4,FALSE),"")</f>
        <v>Operations Expense</v>
      </c>
      <c r="J146" s="336" t="str">
        <f>IFERROR(VLOOKUP($B146,'IA NARUC Table'!$B:$G,5,FALSE),"")</f>
        <v>Admin &amp; General</v>
      </c>
      <c r="K146" s="337" t="s">
        <v>8188</v>
      </c>
    </row>
    <row r="147" spans="2:11" x14ac:dyDescent="0.25">
      <c r="B147" s="218" t="s">
        <v>4474</v>
      </c>
      <c r="C147" s="214" t="s">
        <v>7496</v>
      </c>
      <c r="D147" s="214" t="s">
        <v>7722</v>
      </c>
      <c r="E147" s="216">
        <f t="shared" si="2"/>
        <v>6579.8381397039475</v>
      </c>
      <c r="F147" s="215">
        <v>6579.8381397039475</v>
      </c>
      <c r="G147" s="215"/>
      <c r="H147" s="212"/>
      <c r="I147" s="335" t="str">
        <f>IFERROR(VLOOKUP($B147,'IA NARUC Table'!$B:$G,4,FALSE),"")</f>
        <v>Operations Expense</v>
      </c>
      <c r="J147" s="336" t="str">
        <f>IFERROR(VLOOKUP($B147,'IA NARUC Table'!$B:$G,5,FALSE),"")</f>
        <v>Admin &amp; General</v>
      </c>
      <c r="K147" s="337" t="s">
        <v>8188</v>
      </c>
    </row>
    <row r="148" spans="2:11" x14ac:dyDescent="0.25">
      <c r="B148" s="218" t="s">
        <v>4473</v>
      </c>
      <c r="C148" s="214" t="s">
        <v>7496</v>
      </c>
      <c r="D148" s="214" t="s">
        <v>7723</v>
      </c>
      <c r="E148" s="216">
        <f t="shared" si="2"/>
        <v>31263.613637482013</v>
      </c>
      <c r="F148" s="215">
        <v>31263.613637482013</v>
      </c>
      <c r="G148" s="215"/>
      <c r="H148" s="212"/>
      <c r="I148" s="335" t="str">
        <f>IFERROR(VLOOKUP($B148,'IA NARUC Table'!$B:$G,4,FALSE),"")</f>
        <v>Operations Expense</v>
      </c>
      <c r="J148" s="336" t="str">
        <f>IFERROR(VLOOKUP($B148,'IA NARUC Table'!$B:$G,5,FALSE),"")</f>
        <v>Admin &amp; General</v>
      </c>
      <c r="K148" s="337" t="s">
        <v>8188</v>
      </c>
    </row>
    <row r="149" spans="2:11" x14ac:dyDescent="0.25">
      <c r="B149" s="218" t="s">
        <v>4472</v>
      </c>
      <c r="C149" s="214" t="s">
        <v>7496</v>
      </c>
      <c r="D149" s="214" t="s">
        <v>7724</v>
      </c>
      <c r="E149" s="216">
        <f t="shared" si="2"/>
        <v>968.51343362707598</v>
      </c>
      <c r="F149" s="215">
        <v>968.51343362707598</v>
      </c>
      <c r="G149" s="215"/>
      <c r="H149" s="212"/>
      <c r="I149" s="335" t="str">
        <f>IFERROR(VLOOKUP($B149,'IA NARUC Table'!$B:$G,4,FALSE),"")</f>
        <v>Operations Expense</v>
      </c>
      <c r="J149" s="336" t="str">
        <f>IFERROR(VLOOKUP($B149,'IA NARUC Table'!$B:$G,5,FALSE),"")</f>
        <v>Admin &amp; General</v>
      </c>
      <c r="K149" s="337" t="s">
        <v>8188</v>
      </c>
    </row>
    <row r="150" spans="2:11" x14ac:dyDescent="0.25">
      <c r="B150" s="218" t="s">
        <v>4514</v>
      </c>
      <c r="C150" s="214" t="s">
        <v>7484</v>
      </c>
      <c r="D150" s="214" t="s">
        <v>7726</v>
      </c>
      <c r="E150" s="216">
        <f t="shared" si="2"/>
        <v>0</v>
      </c>
      <c r="F150" s="215">
        <v>0</v>
      </c>
      <c r="G150" s="215"/>
      <c r="H150" s="212"/>
      <c r="I150" s="335" t="str">
        <f>IFERROR(VLOOKUP($B150,'IA NARUC Table'!$B:$G,4,FALSE),"")</f>
        <v>Operations Expense</v>
      </c>
      <c r="J150" s="336" t="str">
        <f>IFERROR(VLOOKUP($B150,'IA NARUC Table'!$B:$G,5,FALSE),"")</f>
        <v>Source of Supply</v>
      </c>
      <c r="K150" s="336" t="s">
        <v>7725</v>
      </c>
    </row>
    <row r="151" spans="2:11" x14ac:dyDescent="0.25">
      <c r="B151" s="218" t="s">
        <v>4508</v>
      </c>
      <c r="C151" s="214" t="s">
        <v>7489</v>
      </c>
      <c r="D151" s="214" t="s">
        <v>7727</v>
      </c>
      <c r="E151" s="216">
        <f t="shared" si="2"/>
        <v>6756</v>
      </c>
      <c r="F151" s="215">
        <v>6756</v>
      </c>
      <c r="G151" s="215"/>
      <c r="H151" s="212"/>
      <c r="I151" s="335" t="str">
        <f>IFERROR(VLOOKUP($B151,'IA NARUC Table'!$B:$G,4,FALSE),"")</f>
        <v>Operations Expense</v>
      </c>
      <c r="J151" s="336" t="str">
        <f>IFERROR(VLOOKUP($B151,'IA NARUC Table'!$B:$G,5,FALSE),"")</f>
        <v>Source of Supply</v>
      </c>
      <c r="K151" s="336" t="s">
        <v>7725</v>
      </c>
    </row>
    <row r="152" spans="2:11" x14ac:dyDescent="0.25">
      <c r="B152" s="218" t="s">
        <v>4507</v>
      </c>
      <c r="C152" s="214" t="s">
        <v>7490</v>
      </c>
      <c r="D152" s="214" t="s">
        <v>7728</v>
      </c>
      <c r="E152" s="216">
        <f t="shared" si="2"/>
        <v>1356</v>
      </c>
      <c r="F152" s="215">
        <v>1356</v>
      </c>
      <c r="G152" s="215"/>
      <c r="H152" s="212"/>
      <c r="I152" s="335" t="str">
        <f>IFERROR(VLOOKUP($B152,'IA NARUC Table'!$B:$G,4,FALSE),"")</f>
        <v>Operations Expense</v>
      </c>
      <c r="J152" s="336" t="str">
        <f>IFERROR(VLOOKUP($B152,'IA NARUC Table'!$B:$G,5,FALSE),"")</f>
        <v>Water Treatment</v>
      </c>
      <c r="K152" s="336" t="s">
        <v>7725</v>
      </c>
    </row>
    <row r="153" spans="2:11" x14ac:dyDescent="0.25">
      <c r="B153" s="218" t="s">
        <v>4506</v>
      </c>
      <c r="C153" s="214" t="s">
        <v>7491</v>
      </c>
      <c r="D153" s="214" t="s">
        <v>7729</v>
      </c>
      <c r="E153" s="216">
        <f t="shared" si="2"/>
        <v>636</v>
      </c>
      <c r="F153" s="215">
        <v>636</v>
      </c>
      <c r="G153" s="215"/>
      <c r="H153" s="212"/>
      <c r="I153" s="335" t="str">
        <f>IFERROR(VLOOKUP($B153,'IA NARUC Table'!$B:$G,4,FALSE),"")</f>
        <v>Operations Expense</v>
      </c>
      <c r="J153" s="336" t="str">
        <f>IFERROR(VLOOKUP($B153,'IA NARUC Table'!$B:$G,5,FALSE),"")</f>
        <v>General T/D</v>
      </c>
      <c r="K153" s="336" t="s">
        <v>7725</v>
      </c>
    </row>
    <row r="154" spans="2:11" x14ac:dyDescent="0.25">
      <c r="B154" s="218" t="s">
        <v>4505</v>
      </c>
      <c r="C154" s="214" t="s">
        <v>7492</v>
      </c>
      <c r="D154" s="214" t="s">
        <v>7730</v>
      </c>
      <c r="E154" s="216">
        <f t="shared" si="2"/>
        <v>624</v>
      </c>
      <c r="F154" s="215">
        <v>624</v>
      </c>
      <c r="G154" s="215"/>
      <c r="H154" s="212"/>
      <c r="I154" s="335" t="str">
        <f>IFERROR(VLOOKUP($B154,'IA NARUC Table'!$B:$G,4,FALSE),"")</f>
        <v>Operations Expense</v>
      </c>
      <c r="J154" s="336" t="str">
        <f>IFERROR(VLOOKUP($B154,'IA NARUC Table'!$B:$G,5,FALSE),"")</f>
        <v>Customer Accounting</v>
      </c>
      <c r="K154" s="336" t="s">
        <v>7725</v>
      </c>
    </row>
    <row r="155" spans="2:11" x14ac:dyDescent="0.25">
      <c r="B155" s="218" t="s">
        <v>4504</v>
      </c>
      <c r="C155" s="214" t="s">
        <v>7488</v>
      </c>
      <c r="D155" s="214" t="s">
        <v>7731</v>
      </c>
      <c r="E155" s="216">
        <f t="shared" si="2"/>
        <v>100617</v>
      </c>
      <c r="F155" s="215">
        <v>100617</v>
      </c>
      <c r="G155" s="215"/>
      <c r="H155" s="212"/>
      <c r="I155" s="335" t="str">
        <f>IFERROR(VLOOKUP($B155,'IA NARUC Table'!$B:$G,4,FALSE),"")</f>
        <v>Operations Expense</v>
      </c>
      <c r="J155" s="336" t="str">
        <f>IFERROR(VLOOKUP($B155,'IA NARUC Table'!$B:$G,5,FALSE),"")</f>
        <v>Admin &amp; General</v>
      </c>
      <c r="K155" s="336" t="s">
        <v>7725</v>
      </c>
    </row>
    <row r="156" spans="2:11" x14ac:dyDescent="0.25">
      <c r="B156" s="218" t="s">
        <v>4498</v>
      </c>
      <c r="C156" s="214" t="s">
        <v>7488</v>
      </c>
      <c r="D156" s="214" t="s">
        <v>7732</v>
      </c>
      <c r="E156" s="216">
        <f t="shared" si="2"/>
        <v>-5940</v>
      </c>
      <c r="F156" s="215">
        <v>-5940</v>
      </c>
      <c r="G156" s="215"/>
      <c r="H156" s="212"/>
      <c r="I156" s="335" t="str">
        <f>IFERROR(VLOOKUP($B156,'IA NARUC Table'!$B:$G,4,FALSE),"")</f>
        <v>Operations Expense</v>
      </c>
      <c r="J156" s="336" t="str">
        <f>IFERROR(VLOOKUP($B156,'IA NARUC Table'!$B:$G,5,FALSE),"")</f>
        <v>Admin &amp; General</v>
      </c>
      <c r="K156" s="336" t="s">
        <v>7725</v>
      </c>
    </row>
    <row r="157" spans="2:11" x14ac:dyDescent="0.25">
      <c r="B157" s="218" t="s">
        <v>4496</v>
      </c>
      <c r="C157" s="214" t="s">
        <v>7494</v>
      </c>
      <c r="D157" s="214" t="s">
        <v>7733</v>
      </c>
      <c r="E157" s="216">
        <f t="shared" si="2"/>
        <v>660</v>
      </c>
      <c r="F157" s="215">
        <v>660</v>
      </c>
      <c r="G157" s="215"/>
      <c r="H157" s="212"/>
      <c r="I157" s="335" t="str">
        <f>IFERROR(VLOOKUP($B157,'IA NARUC Table'!$B:$G,4,FALSE),"")</f>
        <v>Operations Expense</v>
      </c>
      <c r="J157" s="336" t="str">
        <f>IFERROR(VLOOKUP($B157,'IA NARUC Table'!$B:$G,5,FALSE),"")</f>
        <v>Admin &amp; General</v>
      </c>
      <c r="K157" s="336" t="s">
        <v>7725</v>
      </c>
    </row>
    <row r="158" spans="2:11" x14ac:dyDescent="0.25">
      <c r="B158" s="218" t="s">
        <v>4495</v>
      </c>
      <c r="C158" s="214" t="s">
        <v>7494</v>
      </c>
      <c r="D158" s="214" t="s">
        <v>7734</v>
      </c>
      <c r="E158" s="216">
        <f t="shared" si="2"/>
        <v>146268</v>
      </c>
      <c r="F158" s="215">
        <v>146268</v>
      </c>
      <c r="G158" s="215"/>
      <c r="H158" s="212"/>
      <c r="I158" s="335" t="str">
        <f>IFERROR(VLOOKUP($B158,'IA NARUC Table'!$B:$G,4,FALSE),"")</f>
        <v>Operations Expense</v>
      </c>
      <c r="J158" s="336" t="str">
        <f>IFERROR(VLOOKUP($B158,'IA NARUC Table'!$B:$G,5,FALSE),"")</f>
        <v>Admin &amp; General</v>
      </c>
      <c r="K158" s="336" t="s">
        <v>7725</v>
      </c>
    </row>
    <row r="159" spans="2:11" x14ac:dyDescent="0.25">
      <c r="B159" s="218" t="s">
        <v>4494</v>
      </c>
      <c r="C159" s="214" t="s">
        <v>7495</v>
      </c>
      <c r="D159" s="214" t="s">
        <v>7735</v>
      </c>
      <c r="E159" s="216">
        <f t="shared" si="2"/>
        <v>68736</v>
      </c>
      <c r="F159" s="215">
        <v>68736</v>
      </c>
      <c r="G159" s="215"/>
      <c r="H159" s="212"/>
      <c r="I159" s="335" t="str">
        <f>IFERROR(VLOOKUP($B159,'IA NARUC Table'!$B:$G,4,FALSE),"")</f>
        <v>Operations Expense</v>
      </c>
      <c r="J159" s="336" t="str">
        <f>IFERROR(VLOOKUP($B159,'IA NARUC Table'!$B:$G,5,FALSE),"")</f>
        <v>Admin &amp; General</v>
      </c>
      <c r="K159" s="336" t="s">
        <v>7725</v>
      </c>
    </row>
    <row r="160" spans="2:11" x14ac:dyDescent="0.25">
      <c r="B160" s="218" t="s">
        <v>4492</v>
      </c>
      <c r="C160" s="214" t="s">
        <v>7465</v>
      </c>
      <c r="D160" s="214" t="s">
        <v>7736</v>
      </c>
      <c r="E160" s="216">
        <f t="shared" si="2"/>
        <v>4200</v>
      </c>
      <c r="F160" s="215">
        <v>4200</v>
      </c>
      <c r="G160" s="215"/>
      <c r="H160" s="212"/>
      <c r="I160" s="335" t="str">
        <f>IFERROR(VLOOKUP($B160,'IA NARUC Table'!$B:$G,4,FALSE),"")</f>
        <v>Operations Expense</v>
      </c>
      <c r="J160" s="336" t="str">
        <f>IFERROR(VLOOKUP($B160,'IA NARUC Table'!$B:$G,5,FALSE),"")</f>
        <v>Admin &amp; General</v>
      </c>
      <c r="K160" s="336" t="s">
        <v>7725</v>
      </c>
    </row>
    <row r="161" spans="2:11" x14ac:dyDescent="0.25">
      <c r="B161" s="218" t="s">
        <v>4622</v>
      </c>
      <c r="C161" s="214" t="s">
        <v>7465</v>
      </c>
      <c r="D161" s="214" t="s">
        <v>7738</v>
      </c>
      <c r="E161" s="216">
        <f t="shared" si="2"/>
        <v>12732</v>
      </c>
      <c r="F161" s="215">
        <v>12732</v>
      </c>
      <c r="G161" s="215"/>
      <c r="H161" s="26"/>
      <c r="I161" s="335" t="str">
        <f>IFERROR(VLOOKUP($B161,'IA NARUC Table'!$B:$G,4,FALSE),"")</f>
        <v>Operations Expense</v>
      </c>
      <c r="J161" s="336" t="str">
        <f>IFERROR(VLOOKUP($B161,'IA NARUC Table'!$B:$G,5,FALSE),"")</f>
        <v>Admin &amp; General</v>
      </c>
      <c r="K161" s="336" t="s">
        <v>7737</v>
      </c>
    </row>
    <row r="162" spans="2:11" x14ac:dyDescent="0.25">
      <c r="B162" s="218" t="s">
        <v>4612</v>
      </c>
      <c r="C162" s="214" t="s">
        <v>7479</v>
      </c>
      <c r="D162" s="214" t="s">
        <v>7739</v>
      </c>
      <c r="E162" s="216">
        <f t="shared" si="2"/>
        <v>1032</v>
      </c>
      <c r="F162" s="215">
        <v>1032</v>
      </c>
      <c r="G162" s="215"/>
      <c r="H162" s="212"/>
      <c r="I162" s="335" t="str">
        <f>IFERROR(VLOOKUP($B162,'IA NARUC Table'!$B:$G,4,FALSE),"")</f>
        <v>Operations Expense</v>
      </c>
      <c r="J162" s="336" t="str">
        <f>IFERROR(VLOOKUP($B162,'IA NARUC Table'!$B:$G,5,FALSE),"")</f>
        <v>Source of Supply</v>
      </c>
      <c r="K162" s="336" t="s">
        <v>7737</v>
      </c>
    </row>
    <row r="163" spans="2:11" x14ac:dyDescent="0.25">
      <c r="B163" s="218" t="s">
        <v>4611</v>
      </c>
      <c r="C163" s="214" t="s">
        <v>7466</v>
      </c>
      <c r="D163" s="214" t="s">
        <v>7740</v>
      </c>
      <c r="E163" s="216">
        <f t="shared" si="2"/>
        <v>5004</v>
      </c>
      <c r="F163" s="215">
        <v>5004</v>
      </c>
      <c r="G163" s="215"/>
      <c r="H163" s="212"/>
      <c r="I163" s="335" t="str">
        <f>IFERROR(VLOOKUP($B163,'IA NARUC Table'!$B:$G,4,FALSE),"")</f>
        <v>Operations Expense</v>
      </c>
      <c r="J163" s="336" t="str">
        <f>IFERROR(VLOOKUP($B163,'IA NARUC Table'!$B:$G,5,FALSE),"")</f>
        <v>Water Treatment</v>
      </c>
      <c r="K163" s="336" t="s">
        <v>7737</v>
      </c>
    </row>
    <row r="164" spans="2:11" x14ac:dyDescent="0.25">
      <c r="B164" s="218" t="s">
        <v>4610</v>
      </c>
      <c r="C164" s="214" t="s">
        <v>7480</v>
      </c>
      <c r="D164" s="214" t="s">
        <v>7741</v>
      </c>
      <c r="E164" s="216">
        <f t="shared" si="2"/>
        <v>35496</v>
      </c>
      <c r="F164" s="215">
        <v>35496</v>
      </c>
      <c r="G164" s="215"/>
      <c r="H164" s="212"/>
      <c r="I164" s="335" t="str">
        <f>IFERROR(VLOOKUP($B164,'IA NARUC Table'!$B:$G,4,FALSE),"")</f>
        <v>Operations Expense</v>
      </c>
      <c r="J164" s="336" t="str">
        <f>IFERROR(VLOOKUP($B164,'IA NARUC Table'!$B:$G,5,FALSE),"")</f>
        <v>General T/D</v>
      </c>
      <c r="K164" s="336" t="s">
        <v>7737</v>
      </c>
    </row>
    <row r="165" spans="2:11" x14ac:dyDescent="0.25">
      <c r="B165" s="218" t="s">
        <v>4609</v>
      </c>
      <c r="C165" s="214" t="s">
        <v>7465</v>
      </c>
      <c r="D165" s="214" t="s">
        <v>7742</v>
      </c>
      <c r="E165" s="216">
        <f t="shared" si="2"/>
        <v>2388</v>
      </c>
      <c r="F165" s="215">
        <v>2388</v>
      </c>
      <c r="G165" s="215"/>
      <c r="H165" s="212"/>
      <c r="I165" s="335" t="str">
        <f>IFERROR(VLOOKUP($B165,'IA NARUC Table'!$B:$G,4,FALSE),"")</f>
        <v>Operations Expense</v>
      </c>
      <c r="J165" s="336" t="str">
        <f>IFERROR(VLOOKUP($B165,'IA NARUC Table'!$B:$G,5,FALSE),"")</f>
        <v>Admin &amp; General</v>
      </c>
      <c r="K165" s="336" t="s">
        <v>7737</v>
      </c>
    </row>
    <row r="166" spans="2:11" x14ac:dyDescent="0.25">
      <c r="B166" s="218" t="s">
        <v>4607</v>
      </c>
      <c r="C166" s="214" t="s">
        <v>7479</v>
      </c>
      <c r="D166" s="214" t="s">
        <v>7743</v>
      </c>
      <c r="E166" s="216">
        <f t="shared" si="2"/>
        <v>30444</v>
      </c>
      <c r="F166" s="215">
        <v>30444</v>
      </c>
      <c r="G166" s="215"/>
      <c r="H166" s="212"/>
      <c r="I166" s="335" t="str">
        <f>IFERROR(VLOOKUP($B166,'IA NARUC Table'!$B:$G,4,FALSE),"")</f>
        <v>Operations Expense</v>
      </c>
      <c r="J166" s="336" t="str">
        <f>IFERROR(VLOOKUP($B166,'IA NARUC Table'!$B:$G,5,FALSE),"")</f>
        <v>Source of Supply</v>
      </c>
      <c r="K166" s="336" t="s">
        <v>7737</v>
      </c>
    </row>
    <row r="167" spans="2:11" x14ac:dyDescent="0.25">
      <c r="B167" s="218" t="s">
        <v>4603</v>
      </c>
      <c r="C167" s="214" t="s">
        <v>7465</v>
      </c>
      <c r="D167" s="214" t="s">
        <v>7744</v>
      </c>
      <c r="E167" s="216">
        <f t="shared" si="2"/>
        <v>6480</v>
      </c>
      <c r="F167" s="215">
        <v>6480</v>
      </c>
      <c r="G167" s="215"/>
      <c r="H167" s="212"/>
      <c r="I167" s="335" t="str">
        <f>IFERROR(VLOOKUP($B167,'IA NARUC Table'!$B:$G,4,FALSE),"")</f>
        <v>Operations Expense</v>
      </c>
      <c r="J167" s="336" t="str">
        <f>IFERROR(VLOOKUP($B167,'IA NARUC Table'!$B:$G,5,FALSE),"")</f>
        <v>Admin &amp; General</v>
      </c>
      <c r="K167" s="336" t="s">
        <v>7737</v>
      </c>
    </row>
    <row r="168" spans="2:11" x14ac:dyDescent="0.25">
      <c r="B168" s="218" t="s">
        <v>4598</v>
      </c>
      <c r="C168" s="214" t="s">
        <v>7479</v>
      </c>
      <c r="D168" s="214" t="s">
        <v>7745</v>
      </c>
      <c r="E168" s="216">
        <f t="shared" si="2"/>
        <v>348</v>
      </c>
      <c r="F168" s="215">
        <v>348</v>
      </c>
      <c r="G168" s="215"/>
      <c r="H168" s="212"/>
      <c r="I168" s="335" t="str">
        <f>IFERROR(VLOOKUP($B168,'IA NARUC Table'!$B:$G,4,FALSE),"")</f>
        <v>Operations Expense</v>
      </c>
      <c r="J168" s="336" t="str">
        <f>IFERROR(VLOOKUP($B168,'IA NARUC Table'!$B:$G,5,FALSE),"")</f>
        <v>Pumping</v>
      </c>
      <c r="K168" s="336" t="s">
        <v>7737</v>
      </c>
    </row>
    <row r="169" spans="2:11" x14ac:dyDescent="0.25">
      <c r="B169" s="218" t="s">
        <v>4597</v>
      </c>
      <c r="C169" s="214" t="s">
        <v>7466</v>
      </c>
      <c r="D169" s="214" t="s">
        <v>7746</v>
      </c>
      <c r="E169" s="216">
        <f t="shared" si="2"/>
        <v>7044</v>
      </c>
      <c r="F169" s="215">
        <v>7044</v>
      </c>
      <c r="G169" s="215"/>
      <c r="H169" s="212"/>
      <c r="I169" s="335" t="str">
        <f>IFERROR(VLOOKUP($B169,'IA NARUC Table'!$B:$G,4,FALSE),"")</f>
        <v>Operations Expense</v>
      </c>
      <c r="J169" s="336" t="str">
        <f>IFERROR(VLOOKUP($B169,'IA NARUC Table'!$B:$G,5,FALSE),"")</f>
        <v>Water Treatment</v>
      </c>
      <c r="K169" s="336" t="s">
        <v>7737</v>
      </c>
    </row>
    <row r="170" spans="2:11" x14ac:dyDescent="0.25">
      <c r="B170" s="218" t="s">
        <v>4596</v>
      </c>
      <c r="C170" s="214" t="s">
        <v>7480</v>
      </c>
      <c r="D170" s="214" t="s">
        <v>7747</v>
      </c>
      <c r="E170" s="216">
        <f t="shared" si="2"/>
        <v>4296</v>
      </c>
      <c r="F170" s="215">
        <v>4296</v>
      </c>
      <c r="G170" s="215"/>
      <c r="H170" s="212"/>
      <c r="I170" s="335" t="str">
        <f>IFERROR(VLOOKUP($B170,'IA NARUC Table'!$B:$G,4,FALSE),"")</f>
        <v>Operations Expense</v>
      </c>
      <c r="J170" s="336" t="str">
        <f>IFERROR(VLOOKUP($B170,'IA NARUC Table'!$B:$G,5,FALSE),"")</f>
        <v>General T/D</v>
      </c>
      <c r="K170" s="336" t="s">
        <v>7737</v>
      </c>
    </row>
    <row r="171" spans="2:11" x14ac:dyDescent="0.25">
      <c r="B171" s="218" t="s">
        <v>4595</v>
      </c>
      <c r="C171" s="214" t="s">
        <v>7481</v>
      </c>
      <c r="D171" s="214" t="s">
        <v>7748</v>
      </c>
      <c r="E171" s="216">
        <f t="shared" si="2"/>
        <v>120</v>
      </c>
      <c r="F171" s="215">
        <v>120</v>
      </c>
      <c r="G171" s="215"/>
      <c r="H171" s="212"/>
      <c r="I171" s="335" t="str">
        <f>IFERROR(VLOOKUP($B171,'IA NARUC Table'!$B:$G,4,FALSE),"")</f>
        <v>Operations Expense</v>
      </c>
      <c r="J171" s="336" t="str">
        <f>IFERROR(VLOOKUP($B171,'IA NARUC Table'!$B:$G,5,FALSE),"")</f>
        <v>Customer Accounting</v>
      </c>
      <c r="K171" s="336" t="s">
        <v>7737</v>
      </c>
    </row>
    <row r="172" spans="2:11" x14ac:dyDescent="0.25">
      <c r="B172" s="218" t="s">
        <v>4594</v>
      </c>
      <c r="C172" s="214" t="s">
        <v>7465</v>
      </c>
      <c r="D172" s="214" t="s">
        <v>7749</v>
      </c>
      <c r="E172" s="216">
        <f t="shared" si="2"/>
        <v>32580</v>
      </c>
      <c r="F172" s="215">
        <v>32580</v>
      </c>
      <c r="G172" s="215"/>
      <c r="H172" s="212"/>
      <c r="I172" s="335" t="str">
        <f>IFERROR(VLOOKUP($B172,'IA NARUC Table'!$B:$G,4,FALSE),"")</f>
        <v>Operations Expense</v>
      </c>
      <c r="J172" s="336" t="str">
        <f>IFERROR(VLOOKUP($B172,'IA NARUC Table'!$B:$G,5,FALSE),"")</f>
        <v>Admin &amp; General</v>
      </c>
      <c r="K172" s="336" t="s">
        <v>7737</v>
      </c>
    </row>
    <row r="173" spans="2:11" x14ac:dyDescent="0.25">
      <c r="B173" s="218" t="s">
        <v>4570</v>
      </c>
      <c r="C173" s="214" t="s">
        <v>7479</v>
      </c>
      <c r="D173" s="214" t="s">
        <v>7750</v>
      </c>
      <c r="E173" s="216">
        <f t="shared" si="2"/>
        <v>36864</v>
      </c>
      <c r="F173" s="215">
        <v>36864</v>
      </c>
      <c r="G173" s="215"/>
      <c r="H173" s="212"/>
      <c r="I173" s="335" t="str">
        <f>IFERROR(VLOOKUP($B173,'IA NARUC Table'!$B:$G,4,FALSE),"")</f>
        <v>Operations Expense</v>
      </c>
      <c r="J173" s="336" t="str">
        <f>IFERROR(VLOOKUP($B173,'IA NARUC Table'!$B:$G,5,FALSE),"")</f>
        <v>Source of Supply</v>
      </c>
      <c r="K173" s="336" t="s">
        <v>7737</v>
      </c>
    </row>
    <row r="174" spans="2:11" x14ac:dyDescent="0.25">
      <c r="B174" s="218" t="s">
        <v>4569</v>
      </c>
      <c r="C174" s="214" t="s">
        <v>7466</v>
      </c>
      <c r="D174" s="214" t="s">
        <v>7751</v>
      </c>
      <c r="E174" s="216">
        <f t="shared" si="2"/>
        <v>0</v>
      </c>
      <c r="F174" s="215">
        <v>0</v>
      </c>
      <c r="G174" s="215"/>
      <c r="H174" s="212"/>
      <c r="I174" s="335" t="str">
        <f>IFERROR(VLOOKUP($B174,'IA NARUC Table'!$B:$G,4,FALSE),"")</f>
        <v>Operations Expense</v>
      </c>
      <c r="J174" s="336" t="str">
        <f>IFERROR(VLOOKUP($B174,'IA NARUC Table'!$B:$G,5,FALSE),"")</f>
        <v>Water Treatment</v>
      </c>
      <c r="K174" s="336" t="s">
        <v>7737</v>
      </c>
    </row>
    <row r="175" spans="2:11" x14ac:dyDescent="0.25">
      <c r="B175" s="218" t="s">
        <v>4566</v>
      </c>
      <c r="C175" s="214" t="s">
        <v>7465</v>
      </c>
      <c r="D175" s="214" t="s">
        <v>7752</v>
      </c>
      <c r="E175" s="216">
        <f t="shared" si="2"/>
        <v>0</v>
      </c>
      <c r="F175" s="215">
        <v>0</v>
      </c>
      <c r="G175" s="215"/>
      <c r="H175" s="212"/>
      <c r="I175" s="335" t="str">
        <f>IFERROR(VLOOKUP($B175,'IA NARUC Table'!$B:$G,4,FALSE),"")</f>
        <v>Operations Expense</v>
      </c>
      <c r="J175" s="336" t="str">
        <f>IFERROR(VLOOKUP($B175,'IA NARUC Table'!$B:$G,5,FALSE),"")</f>
        <v>Admin &amp; General</v>
      </c>
      <c r="K175" s="336" t="s">
        <v>7737</v>
      </c>
    </row>
    <row r="176" spans="2:11" x14ac:dyDescent="0.25">
      <c r="B176" s="218" t="s">
        <v>4543</v>
      </c>
      <c r="C176" s="214" t="s">
        <v>7479</v>
      </c>
      <c r="D176" s="214" t="s">
        <v>7753</v>
      </c>
      <c r="E176" s="216">
        <f t="shared" si="2"/>
        <v>8864</v>
      </c>
      <c r="F176" s="215">
        <v>8864</v>
      </c>
      <c r="G176" s="215"/>
      <c r="H176" s="26"/>
      <c r="I176" s="335" t="str">
        <f>IFERROR(VLOOKUP($B176,'IA NARUC Table'!$B:$G,4,FALSE),"")</f>
        <v>Operations Expense</v>
      </c>
      <c r="J176" s="336" t="str">
        <f>IFERROR(VLOOKUP($B176,'IA NARUC Table'!$B:$G,5,FALSE),"")</f>
        <v>Source of Supply</v>
      </c>
      <c r="K176" s="336" t="s">
        <v>7737</v>
      </c>
    </row>
    <row r="177" spans="2:11" x14ac:dyDescent="0.25">
      <c r="B177" s="218" t="s">
        <v>4542</v>
      </c>
      <c r="C177" s="214" t="s">
        <v>7466</v>
      </c>
      <c r="D177" s="214" t="s">
        <v>7754</v>
      </c>
      <c r="E177" s="216">
        <f t="shared" si="2"/>
        <v>0</v>
      </c>
      <c r="F177" s="215">
        <v>0</v>
      </c>
      <c r="G177" s="215"/>
      <c r="H177" s="213"/>
      <c r="I177" s="335" t="str">
        <f>IFERROR(VLOOKUP($B177,'IA NARUC Table'!$B:$G,4,FALSE),"")</f>
        <v>Operations Expense</v>
      </c>
      <c r="J177" s="336" t="str">
        <f>IFERROR(VLOOKUP($B177,'IA NARUC Table'!$B:$G,5,FALSE),"")</f>
        <v>Water Treatment</v>
      </c>
      <c r="K177" s="336" t="s">
        <v>7737</v>
      </c>
    </row>
    <row r="178" spans="2:11" x14ac:dyDescent="0.25">
      <c r="B178" s="218" t="s">
        <v>4541</v>
      </c>
      <c r="C178" s="214" t="s">
        <v>7480</v>
      </c>
      <c r="D178" s="214" t="s">
        <v>7755</v>
      </c>
      <c r="E178" s="216">
        <f t="shared" si="2"/>
        <v>2004</v>
      </c>
      <c r="F178" s="215">
        <v>2004</v>
      </c>
      <c r="G178" s="215"/>
      <c r="H178" s="213"/>
      <c r="I178" s="335" t="str">
        <f>IFERROR(VLOOKUP($B178,'IA NARUC Table'!$B:$G,4,FALSE),"")</f>
        <v>Operations Expense</v>
      </c>
      <c r="J178" s="336" t="str">
        <f>IFERROR(VLOOKUP($B178,'IA NARUC Table'!$B:$G,5,FALSE),"")</f>
        <v>General T/D</v>
      </c>
      <c r="K178" s="336" t="s">
        <v>7737</v>
      </c>
    </row>
    <row r="179" spans="2:11" x14ac:dyDescent="0.25">
      <c r="B179" s="218" t="s">
        <v>4539</v>
      </c>
      <c r="C179" s="214" t="s">
        <v>7465</v>
      </c>
      <c r="D179" s="214" t="s">
        <v>7756</v>
      </c>
      <c r="E179" s="216">
        <f t="shared" si="2"/>
        <v>1176</v>
      </c>
      <c r="F179" s="215">
        <v>1176</v>
      </c>
      <c r="G179" s="215"/>
      <c r="H179" s="213"/>
      <c r="I179" s="335" t="str">
        <f>IFERROR(VLOOKUP($B179,'IA NARUC Table'!$B:$G,4,FALSE),"")</f>
        <v>Operations Expense</v>
      </c>
      <c r="J179" s="336" t="str">
        <f>IFERROR(VLOOKUP($B179,'IA NARUC Table'!$B:$G,5,FALSE),"")</f>
        <v>Admin &amp; General</v>
      </c>
      <c r="K179" s="336" t="s">
        <v>7737</v>
      </c>
    </row>
    <row r="180" spans="2:11" x14ac:dyDescent="0.25">
      <c r="B180" s="218" t="s">
        <v>4529</v>
      </c>
      <c r="C180" s="214" t="s">
        <v>7479</v>
      </c>
      <c r="D180" s="214" t="s">
        <v>7757</v>
      </c>
      <c r="E180" s="216">
        <f t="shared" si="2"/>
        <v>-60</v>
      </c>
      <c r="F180" s="215">
        <v>-60</v>
      </c>
      <c r="G180" s="215"/>
      <c r="H180" s="213"/>
      <c r="I180" s="335" t="str">
        <f>IFERROR(VLOOKUP($B180,'IA NARUC Table'!$B:$G,4,FALSE),"")</f>
        <v>Operations Expense</v>
      </c>
      <c r="J180" s="336" t="str">
        <f>IFERROR(VLOOKUP($B180,'IA NARUC Table'!$B:$G,5,FALSE),"")</f>
        <v>Source of Supply</v>
      </c>
      <c r="K180" s="336" t="s">
        <v>7737</v>
      </c>
    </row>
    <row r="181" spans="2:11" x14ac:dyDescent="0.25">
      <c r="B181" s="218" t="s">
        <v>4527</v>
      </c>
      <c r="C181" s="214" t="s">
        <v>7480</v>
      </c>
      <c r="D181" s="214" t="s">
        <v>7758</v>
      </c>
      <c r="E181" s="216">
        <f t="shared" si="2"/>
        <v>204</v>
      </c>
      <c r="F181" s="215">
        <v>204</v>
      </c>
      <c r="G181" s="215"/>
      <c r="H181" s="213"/>
      <c r="I181" s="335" t="str">
        <f>IFERROR(VLOOKUP($B181,'IA NARUC Table'!$B:$G,4,FALSE),"")</f>
        <v>Operations Expense</v>
      </c>
      <c r="J181" s="336" t="str">
        <f>IFERROR(VLOOKUP($B181,'IA NARUC Table'!$B:$G,5,FALSE),"")</f>
        <v>General T/D</v>
      </c>
      <c r="K181" s="336" t="s">
        <v>7737</v>
      </c>
    </row>
    <row r="182" spans="2:11" x14ac:dyDescent="0.25">
      <c r="B182" s="218" t="s">
        <v>4526</v>
      </c>
      <c r="C182" s="214" t="s">
        <v>7465</v>
      </c>
      <c r="D182" s="214" t="s">
        <v>7759</v>
      </c>
      <c r="E182" s="216">
        <f t="shared" si="2"/>
        <v>33528</v>
      </c>
      <c r="F182" s="215">
        <v>33528</v>
      </c>
      <c r="G182" s="215"/>
      <c r="H182" s="213"/>
      <c r="I182" s="335" t="str">
        <f>IFERROR(VLOOKUP($B182,'IA NARUC Table'!$B:$G,4,FALSE),"")</f>
        <v>Operations Expense</v>
      </c>
      <c r="J182" s="336" t="str">
        <f>IFERROR(VLOOKUP($B182,'IA NARUC Table'!$B:$G,5,FALSE),"")</f>
        <v>Admin &amp; General</v>
      </c>
      <c r="K182" s="336" t="s">
        <v>7737</v>
      </c>
    </row>
    <row r="183" spans="2:11" x14ac:dyDescent="0.25">
      <c r="B183" s="218" t="s">
        <v>4560</v>
      </c>
      <c r="C183" s="214" t="s">
        <v>7466</v>
      </c>
      <c r="D183" s="214" t="s">
        <v>7761</v>
      </c>
      <c r="E183" s="216">
        <f t="shared" si="2"/>
        <v>14649</v>
      </c>
      <c r="F183" s="215">
        <v>14649</v>
      </c>
      <c r="G183" s="215"/>
      <c r="H183" s="213"/>
      <c r="I183" s="335" t="str">
        <f>IFERROR(VLOOKUP($B183,'IA NARUC Table'!$B:$G,4,FALSE),"")</f>
        <v>Operations Expense</v>
      </c>
      <c r="J183" s="336" t="str">
        <f>IFERROR(VLOOKUP($B183,'IA NARUC Table'!$B:$G,5,FALSE),"")</f>
        <v>Water Treatment</v>
      </c>
      <c r="K183" s="336" t="s">
        <v>7760</v>
      </c>
    </row>
    <row r="184" spans="2:11" x14ac:dyDescent="0.25">
      <c r="B184" s="218" t="s">
        <v>4559</v>
      </c>
      <c r="C184" s="214" t="s">
        <v>7480</v>
      </c>
      <c r="D184" s="214" t="s">
        <v>7762</v>
      </c>
      <c r="E184" s="216">
        <f t="shared" si="2"/>
        <v>4103</v>
      </c>
      <c r="F184" s="215">
        <v>4103</v>
      </c>
      <c r="G184" s="215"/>
      <c r="H184" s="213"/>
      <c r="I184" s="335" t="str">
        <f>IFERROR(VLOOKUP($B184,'IA NARUC Table'!$B:$G,4,FALSE),"")</f>
        <v>Operations Expense</v>
      </c>
      <c r="J184" s="336" t="str">
        <f>IFERROR(VLOOKUP($B184,'IA NARUC Table'!$B:$G,5,FALSE),"")</f>
        <v>General T/D</v>
      </c>
      <c r="K184" s="336" t="s">
        <v>7760</v>
      </c>
    </row>
    <row r="185" spans="2:11" x14ac:dyDescent="0.25">
      <c r="B185" s="218" t="s">
        <v>4557</v>
      </c>
      <c r="C185" s="214" t="s">
        <v>7465</v>
      </c>
      <c r="D185" s="214" t="s">
        <v>7763</v>
      </c>
      <c r="E185" s="216">
        <f t="shared" si="2"/>
        <v>48976</v>
      </c>
      <c r="F185" s="215">
        <v>48976</v>
      </c>
      <c r="G185" s="215"/>
      <c r="H185" s="213"/>
      <c r="I185" s="335" t="str">
        <f>IFERROR(VLOOKUP($B185,'IA NARUC Table'!$B:$G,4,FALSE),"")</f>
        <v>Operations Expense</v>
      </c>
      <c r="J185" s="336" t="str">
        <f>IFERROR(VLOOKUP($B185,'IA NARUC Table'!$B:$G,5,FALSE),"")</f>
        <v>Admin &amp; General</v>
      </c>
      <c r="K185" s="336" t="s">
        <v>7760</v>
      </c>
    </row>
    <row r="186" spans="2:11" x14ac:dyDescent="0.25">
      <c r="B186" s="218" t="s">
        <v>4553</v>
      </c>
      <c r="C186" s="214" t="s">
        <v>7480</v>
      </c>
      <c r="D186" s="214" t="s">
        <v>7764</v>
      </c>
      <c r="E186" s="216">
        <f t="shared" si="2"/>
        <v>25107</v>
      </c>
      <c r="F186" s="215">
        <v>25107</v>
      </c>
      <c r="G186" s="215"/>
      <c r="H186" s="213"/>
      <c r="I186" s="335" t="str">
        <f>IFERROR(VLOOKUP($B186,'IA NARUC Table'!$B:$G,4,FALSE),"")</f>
        <v>Operations Expense</v>
      </c>
      <c r="J186" s="336" t="str">
        <f>IFERROR(VLOOKUP($B186,'IA NARUC Table'!$B:$G,5,FALSE),"")</f>
        <v>General T/D</v>
      </c>
      <c r="K186" s="336" t="s">
        <v>7760</v>
      </c>
    </row>
    <row r="187" spans="2:11" x14ac:dyDescent="0.25">
      <c r="B187" s="218" t="s">
        <v>4552</v>
      </c>
      <c r="C187" s="214" t="s">
        <v>7481</v>
      </c>
      <c r="D187" s="214" t="s">
        <v>7765</v>
      </c>
      <c r="E187" s="216">
        <f t="shared" si="2"/>
        <v>1307</v>
      </c>
      <c r="F187" s="215">
        <v>1307</v>
      </c>
      <c r="G187" s="215"/>
      <c r="H187" s="213"/>
      <c r="I187" s="335" t="str">
        <f>IFERROR(VLOOKUP($B187,'IA NARUC Table'!$B:$G,4,FALSE),"")</f>
        <v>Operations Expense</v>
      </c>
      <c r="J187" s="336" t="str">
        <f>IFERROR(VLOOKUP($B187,'IA NARUC Table'!$B:$G,5,FALSE),"")</f>
        <v>Customer Accounting</v>
      </c>
      <c r="K187" s="336" t="s">
        <v>7760</v>
      </c>
    </row>
    <row r="188" spans="2:11" x14ac:dyDescent="0.25">
      <c r="B188" s="218" t="s">
        <v>4551</v>
      </c>
      <c r="C188" s="214" t="s">
        <v>7465</v>
      </c>
      <c r="D188" s="214" t="s">
        <v>7766</v>
      </c>
      <c r="E188" s="216">
        <f t="shared" si="2"/>
        <v>49950</v>
      </c>
      <c r="F188" s="215">
        <v>49950</v>
      </c>
      <c r="G188" s="215"/>
      <c r="H188" s="213"/>
      <c r="I188" s="335" t="str">
        <f>IFERROR(VLOOKUP($B188,'IA NARUC Table'!$B:$G,4,FALSE),"")</f>
        <v>Operations Expense</v>
      </c>
      <c r="J188" s="336" t="str">
        <f>IFERROR(VLOOKUP($B188,'IA NARUC Table'!$B:$G,5,FALSE),"")</f>
        <v>Admin &amp; General</v>
      </c>
      <c r="K188" s="336" t="s">
        <v>7760</v>
      </c>
    </row>
    <row r="189" spans="2:11" x14ac:dyDescent="0.25">
      <c r="B189" s="218" t="s">
        <v>4583</v>
      </c>
      <c r="C189" s="214" t="s">
        <v>7479</v>
      </c>
      <c r="D189" s="214" t="s">
        <v>7768</v>
      </c>
      <c r="E189" s="216">
        <f t="shared" si="2"/>
        <v>11</v>
      </c>
      <c r="F189" s="215">
        <v>11</v>
      </c>
      <c r="G189" s="215"/>
      <c r="H189" s="213"/>
      <c r="I189" s="335" t="str">
        <f>IFERROR(VLOOKUP($B189,'IA NARUC Table'!$B:$G,4,FALSE),"")</f>
        <v>Operations Expense</v>
      </c>
      <c r="J189" s="336" t="str">
        <f>IFERROR(VLOOKUP($B189,'IA NARUC Table'!$B:$G,5,FALSE),"")</f>
        <v>Source of Supply</v>
      </c>
      <c r="K189" s="336" t="s">
        <v>7767</v>
      </c>
    </row>
    <row r="190" spans="2:11" x14ac:dyDescent="0.25">
      <c r="B190" s="218" t="s">
        <v>4582</v>
      </c>
      <c r="C190" s="214" t="s">
        <v>7466</v>
      </c>
      <c r="D190" s="214" t="s">
        <v>7769</v>
      </c>
      <c r="E190" s="216">
        <f t="shared" si="2"/>
        <v>4061</v>
      </c>
      <c r="F190" s="215">
        <v>4061</v>
      </c>
      <c r="G190" s="215"/>
      <c r="H190" s="213"/>
      <c r="I190" s="335" t="str">
        <f>IFERROR(VLOOKUP($B190,'IA NARUC Table'!$B:$G,4,FALSE),"")</f>
        <v>Operations Expense</v>
      </c>
      <c r="J190" s="336" t="str">
        <f>IFERROR(VLOOKUP($B190,'IA NARUC Table'!$B:$G,5,FALSE),"")</f>
        <v>Water Treatment</v>
      </c>
      <c r="K190" s="336" t="s">
        <v>7767</v>
      </c>
    </row>
    <row r="191" spans="2:11" x14ac:dyDescent="0.25">
      <c r="B191" s="218" t="s">
        <v>4581</v>
      </c>
      <c r="C191" s="214" t="s">
        <v>7480</v>
      </c>
      <c r="D191" s="214" t="s">
        <v>7770</v>
      </c>
      <c r="E191" s="216">
        <f t="shared" si="2"/>
        <v>24</v>
      </c>
      <c r="F191" s="215">
        <v>24</v>
      </c>
      <c r="G191" s="215"/>
      <c r="H191" s="213"/>
      <c r="I191" s="335" t="str">
        <f>IFERROR(VLOOKUP($B191,'IA NARUC Table'!$B:$G,4,FALSE),"")</f>
        <v>Operations Expense</v>
      </c>
      <c r="J191" s="336" t="str">
        <f>IFERROR(VLOOKUP($B191,'IA NARUC Table'!$B:$G,5,FALSE),"")</f>
        <v>General T/D</v>
      </c>
      <c r="K191" s="336" t="s">
        <v>7767</v>
      </c>
    </row>
    <row r="192" spans="2:11" x14ac:dyDescent="0.25">
      <c r="B192" s="218" t="s">
        <v>4579</v>
      </c>
      <c r="C192" s="214" t="s">
        <v>7465</v>
      </c>
      <c r="D192" s="214" t="s">
        <v>7771</v>
      </c>
      <c r="E192" s="216">
        <f t="shared" si="2"/>
        <v>2502</v>
      </c>
      <c r="F192" s="215">
        <v>2502</v>
      </c>
      <c r="G192" s="215"/>
      <c r="H192" s="26"/>
      <c r="I192" s="335" t="str">
        <f>IFERROR(VLOOKUP($B192,'IA NARUC Table'!$B:$G,4,FALSE),"")</f>
        <v>Operations Expense</v>
      </c>
      <c r="J192" s="336" t="str">
        <f>IFERROR(VLOOKUP($B192,'IA NARUC Table'!$B:$G,5,FALSE),"")</f>
        <v>Admin &amp; General</v>
      </c>
      <c r="K192" s="336" t="s">
        <v>7767</v>
      </c>
    </row>
    <row r="193" spans="2:11" x14ac:dyDescent="0.25">
      <c r="B193" s="218" t="s">
        <v>4575</v>
      </c>
      <c r="C193" s="214" t="s">
        <v>7465</v>
      </c>
      <c r="D193" s="214" t="s">
        <v>7772</v>
      </c>
      <c r="E193" s="216">
        <f t="shared" si="2"/>
        <v>3850</v>
      </c>
      <c r="F193" s="215">
        <v>3850</v>
      </c>
      <c r="G193" s="215"/>
      <c r="H193" s="213"/>
      <c r="I193" s="335" t="str">
        <f>IFERROR(VLOOKUP($B193,'IA NARUC Table'!$B:$G,4,FALSE),"")</f>
        <v>Operations Expense</v>
      </c>
      <c r="J193" s="336" t="str">
        <f>IFERROR(VLOOKUP($B193,'IA NARUC Table'!$B:$G,5,FALSE),"")</f>
        <v>Admin &amp; General</v>
      </c>
      <c r="K193" s="336" t="s">
        <v>7767</v>
      </c>
    </row>
    <row r="194" spans="2:11" x14ac:dyDescent="0.25">
      <c r="B194" s="218" t="s">
        <v>4574</v>
      </c>
      <c r="C194" s="214" t="s">
        <v>7465</v>
      </c>
      <c r="D194" s="214" t="s">
        <v>7773</v>
      </c>
      <c r="E194" s="216">
        <f t="shared" si="2"/>
        <v>139</v>
      </c>
      <c r="F194" s="215">
        <v>139</v>
      </c>
      <c r="G194" s="215"/>
      <c r="H194" s="213"/>
      <c r="I194" s="335" t="str">
        <f>IFERROR(VLOOKUP($B194,'IA NARUC Table'!$B:$G,4,FALSE),"")</f>
        <v>Operations Expense</v>
      </c>
      <c r="J194" s="336" t="str">
        <f>IFERROR(VLOOKUP($B194,'IA NARUC Table'!$B:$G,5,FALSE),"")</f>
        <v>Admin &amp; General</v>
      </c>
      <c r="K194" s="336" t="s">
        <v>7767</v>
      </c>
    </row>
    <row r="195" spans="2:11" x14ac:dyDescent="0.25">
      <c r="B195" s="218" t="s">
        <v>4660</v>
      </c>
      <c r="C195" s="214" t="s">
        <v>7465</v>
      </c>
      <c r="D195" s="214" t="s">
        <v>7775</v>
      </c>
      <c r="E195" s="216">
        <f t="shared" si="2"/>
        <v>695</v>
      </c>
      <c r="F195" s="215">
        <v>695</v>
      </c>
      <c r="G195" s="215"/>
      <c r="H195" s="213"/>
      <c r="I195" s="335" t="str">
        <f>IFERROR(VLOOKUP($B195,'IA NARUC Table'!$B:$G,4,FALSE),"")</f>
        <v>Operations Expense</v>
      </c>
      <c r="J195" s="336" t="str">
        <f>IFERROR(VLOOKUP($B195,'IA NARUC Table'!$B:$G,5,FALSE),"")</f>
        <v>Admin &amp; General</v>
      </c>
      <c r="K195" s="336" t="s">
        <v>7774</v>
      </c>
    </row>
    <row r="196" spans="2:11" x14ac:dyDescent="0.25">
      <c r="B196" s="218" t="s">
        <v>4659</v>
      </c>
      <c r="C196" s="214" t="s">
        <v>7465</v>
      </c>
      <c r="D196" s="214" t="s">
        <v>7776</v>
      </c>
      <c r="E196" s="216">
        <f t="shared" si="2"/>
        <v>3856</v>
      </c>
      <c r="F196" s="215">
        <v>3856</v>
      </c>
      <c r="G196" s="215"/>
      <c r="H196" s="213"/>
      <c r="I196" s="335" t="str">
        <f>IFERROR(VLOOKUP($B196,'IA NARUC Table'!$B:$G,4,FALSE),"")</f>
        <v>Operations Expense</v>
      </c>
      <c r="J196" s="336" t="str">
        <f>IFERROR(VLOOKUP($B196,'IA NARUC Table'!$B:$G,5,FALSE),"")</f>
        <v>Admin &amp; General</v>
      </c>
      <c r="K196" s="336" t="s">
        <v>7774</v>
      </c>
    </row>
    <row r="197" spans="2:11" x14ac:dyDescent="0.25">
      <c r="B197" s="218" t="s">
        <v>4630</v>
      </c>
      <c r="C197" s="214" t="s">
        <v>7465</v>
      </c>
      <c r="D197" s="214" t="s">
        <v>7777</v>
      </c>
      <c r="E197" s="216">
        <f t="shared" si="2"/>
        <v>27599</v>
      </c>
      <c r="F197" s="215">
        <v>27599</v>
      </c>
      <c r="G197" s="215"/>
      <c r="H197" s="213"/>
      <c r="I197" s="335" t="str">
        <f>IFERROR(VLOOKUP($B197,'IA NARUC Table'!$B:$G,4,FALSE),"")</f>
        <v>Operations Expense</v>
      </c>
      <c r="J197" s="336" t="str">
        <f>IFERROR(VLOOKUP($B197,'IA NARUC Table'!$B:$G,5,FALSE),"")</f>
        <v>Admin &amp; General</v>
      </c>
      <c r="K197" s="336" t="s">
        <v>7774</v>
      </c>
    </row>
    <row r="198" spans="2:11" x14ac:dyDescent="0.25">
      <c r="B198" s="218" t="s">
        <v>4589</v>
      </c>
      <c r="C198" s="214" t="s">
        <v>7479</v>
      </c>
      <c r="D198" s="214" t="s">
        <v>7778</v>
      </c>
      <c r="E198" s="216">
        <f t="shared" si="2"/>
        <v>877</v>
      </c>
      <c r="F198" s="215">
        <v>877</v>
      </c>
      <c r="G198" s="215"/>
      <c r="H198" s="213"/>
      <c r="I198" s="335" t="str">
        <f>IFERROR(VLOOKUP($B198,'IA NARUC Table'!$B:$G,4,FALSE),"")</f>
        <v>Operations Expense</v>
      </c>
      <c r="J198" s="336" t="str">
        <f>IFERROR(VLOOKUP($B198,'IA NARUC Table'!$B:$G,5,FALSE),"")</f>
        <v>Source of Supply</v>
      </c>
      <c r="K198" s="336" t="s">
        <v>7774</v>
      </c>
    </row>
    <row r="199" spans="2:11" x14ac:dyDescent="0.25">
      <c r="B199" s="218" t="s">
        <v>4588</v>
      </c>
      <c r="C199" s="214" t="s">
        <v>7466</v>
      </c>
      <c r="D199" s="214" t="s">
        <v>7779</v>
      </c>
      <c r="E199" s="216">
        <f t="shared" ref="E199:E262" si="3">SUM(F199:G199)</f>
        <v>184</v>
      </c>
      <c r="F199" s="215">
        <v>184</v>
      </c>
      <c r="G199" s="215"/>
      <c r="H199" s="213"/>
      <c r="I199" s="335" t="str">
        <f>IFERROR(VLOOKUP($B199,'IA NARUC Table'!$B:$G,4,FALSE),"")</f>
        <v>Operations Expense</v>
      </c>
      <c r="J199" s="336" t="str">
        <f>IFERROR(VLOOKUP($B199,'IA NARUC Table'!$B:$G,5,FALSE),"")</f>
        <v>Water Treatment</v>
      </c>
      <c r="K199" s="336" t="s">
        <v>7774</v>
      </c>
    </row>
    <row r="200" spans="2:11" x14ac:dyDescent="0.25">
      <c r="B200" s="218" t="s">
        <v>4587</v>
      </c>
      <c r="C200" s="214" t="s">
        <v>7480</v>
      </c>
      <c r="D200" s="214" t="s">
        <v>7780</v>
      </c>
      <c r="E200" s="216">
        <f t="shared" si="3"/>
        <v>-560</v>
      </c>
      <c r="F200" s="215">
        <v>-560</v>
      </c>
      <c r="G200" s="215"/>
      <c r="H200" s="213"/>
      <c r="I200" s="335" t="str">
        <f>IFERROR(VLOOKUP($B200,'IA NARUC Table'!$B:$G,4,FALSE),"")</f>
        <v>Operations Expense</v>
      </c>
      <c r="J200" s="336" t="str">
        <f>IFERROR(VLOOKUP($B200,'IA NARUC Table'!$B:$G,5,FALSE),"")</f>
        <v>General T/D</v>
      </c>
      <c r="K200" s="336" t="s">
        <v>7774</v>
      </c>
    </row>
    <row r="201" spans="2:11" x14ac:dyDescent="0.25">
      <c r="B201" s="218" t="s">
        <v>4586</v>
      </c>
      <c r="C201" s="214" t="s">
        <v>7481</v>
      </c>
      <c r="D201" s="214" t="s">
        <v>7781</v>
      </c>
      <c r="E201" s="216">
        <f t="shared" si="3"/>
        <v>151</v>
      </c>
      <c r="F201" s="215">
        <v>151</v>
      </c>
      <c r="G201" s="215"/>
      <c r="H201" s="213"/>
      <c r="I201" s="335" t="str">
        <f>IFERROR(VLOOKUP($B201,'IA NARUC Table'!$B:$G,4,FALSE),"")</f>
        <v>Operations Expense</v>
      </c>
      <c r="J201" s="336" t="str">
        <f>IFERROR(VLOOKUP($B201,'IA NARUC Table'!$B:$G,5,FALSE),"")</f>
        <v>Customer Accounting</v>
      </c>
      <c r="K201" s="336" t="s">
        <v>7774</v>
      </c>
    </row>
    <row r="202" spans="2:11" x14ac:dyDescent="0.25">
      <c r="B202" s="218" t="s">
        <v>4585</v>
      </c>
      <c r="C202" s="214" t="s">
        <v>7465</v>
      </c>
      <c r="D202" s="214" t="s">
        <v>7782</v>
      </c>
      <c r="E202" s="216">
        <f t="shared" si="3"/>
        <v>31487</v>
      </c>
      <c r="F202" s="215">
        <v>31487</v>
      </c>
      <c r="G202" s="215"/>
      <c r="H202" s="213"/>
      <c r="I202" s="335" t="str">
        <f>IFERROR(VLOOKUP($B202,'IA NARUC Table'!$B:$G,4,FALSE),"")</f>
        <v>Operations Expense</v>
      </c>
      <c r="J202" s="336" t="str">
        <f>IFERROR(VLOOKUP($B202,'IA NARUC Table'!$B:$G,5,FALSE),"")</f>
        <v>Admin &amp; General</v>
      </c>
      <c r="K202" s="336" t="s">
        <v>7774</v>
      </c>
    </row>
    <row r="203" spans="2:11" x14ac:dyDescent="0.25">
      <c r="B203" s="218" t="s">
        <v>4564</v>
      </c>
      <c r="C203" s="214" t="s">
        <v>7465</v>
      </c>
      <c r="D203" s="214" t="s">
        <v>7783</v>
      </c>
      <c r="E203" s="216">
        <f t="shared" si="3"/>
        <v>0</v>
      </c>
      <c r="F203" s="215">
        <v>0</v>
      </c>
      <c r="G203" s="215"/>
      <c r="H203" s="213"/>
      <c r="I203" s="335" t="str">
        <f>IFERROR(VLOOKUP($B203,'IA NARUC Table'!$B:$G,4,FALSE),"")</f>
        <v>Operations Expense</v>
      </c>
      <c r="J203" s="336" t="str">
        <f>IFERROR(VLOOKUP($B203,'IA NARUC Table'!$B:$G,5,FALSE),"")</f>
        <v>Admin &amp; General</v>
      </c>
      <c r="K203" s="336" t="s">
        <v>7774</v>
      </c>
    </row>
    <row r="204" spans="2:11" x14ac:dyDescent="0.25">
      <c r="B204" s="218" t="s">
        <v>4536</v>
      </c>
      <c r="C204" s="214" t="s">
        <v>7479</v>
      </c>
      <c r="D204" s="214" t="s">
        <v>7784</v>
      </c>
      <c r="E204" s="216">
        <f t="shared" si="3"/>
        <v>110</v>
      </c>
      <c r="F204" s="215">
        <v>110</v>
      </c>
      <c r="G204" s="215"/>
      <c r="H204" s="213"/>
      <c r="I204" s="335" t="str">
        <f>IFERROR(VLOOKUP($B204,'IA NARUC Table'!$B:$G,4,FALSE),"")</f>
        <v>Operations Expense</v>
      </c>
      <c r="J204" s="336" t="str">
        <f>IFERROR(VLOOKUP($B204,'IA NARUC Table'!$B:$G,5,FALSE),"")</f>
        <v>Source of Supply</v>
      </c>
      <c r="K204" s="336" t="s">
        <v>7774</v>
      </c>
    </row>
    <row r="205" spans="2:11" x14ac:dyDescent="0.25">
      <c r="B205" s="218" t="s">
        <v>4535</v>
      </c>
      <c r="C205" s="214" t="s">
        <v>7466</v>
      </c>
      <c r="D205" s="214" t="s">
        <v>7785</v>
      </c>
      <c r="E205" s="216">
        <f t="shared" si="3"/>
        <v>128</v>
      </c>
      <c r="F205" s="215">
        <v>128</v>
      </c>
      <c r="G205" s="215"/>
      <c r="H205" s="213"/>
      <c r="I205" s="335" t="str">
        <f>IFERROR(VLOOKUP($B205,'IA NARUC Table'!$B:$G,4,FALSE),"")</f>
        <v>Operations Expense</v>
      </c>
      <c r="J205" s="336" t="str">
        <f>IFERROR(VLOOKUP($B205,'IA NARUC Table'!$B:$G,5,FALSE),"")</f>
        <v>Pumping</v>
      </c>
      <c r="K205" s="336" t="s">
        <v>7774</v>
      </c>
    </row>
    <row r="206" spans="2:11" x14ac:dyDescent="0.25">
      <c r="B206" s="218" t="s">
        <v>4534</v>
      </c>
      <c r="C206" s="214" t="s">
        <v>7466</v>
      </c>
      <c r="D206" s="214" t="s">
        <v>7786</v>
      </c>
      <c r="E206" s="216">
        <f t="shared" si="3"/>
        <v>21</v>
      </c>
      <c r="F206" s="215">
        <v>21</v>
      </c>
      <c r="G206" s="215"/>
      <c r="H206" s="213"/>
      <c r="I206" s="335" t="str">
        <f>IFERROR(VLOOKUP($B206,'IA NARUC Table'!$B:$G,4,FALSE),"")</f>
        <v>Operations Expense</v>
      </c>
      <c r="J206" s="336" t="str">
        <f>IFERROR(VLOOKUP($B206,'IA NARUC Table'!$B:$G,5,FALSE),"")</f>
        <v>Water Treatment</v>
      </c>
      <c r="K206" s="336" t="s">
        <v>7774</v>
      </c>
    </row>
    <row r="207" spans="2:11" x14ac:dyDescent="0.25">
      <c r="B207" s="218" t="s">
        <v>4533</v>
      </c>
      <c r="C207" s="214" t="s">
        <v>7480</v>
      </c>
      <c r="D207" s="214" t="s">
        <v>7787</v>
      </c>
      <c r="E207" s="216">
        <f t="shared" si="3"/>
        <v>37526</v>
      </c>
      <c r="F207" s="215">
        <v>37526</v>
      </c>
      <c r="G207" s="215"/>
      <c r="H207" s="213"/>
      <c r="I207" s="335" t="str">
        <f>IFERROR(VLOOKUP($B207,'IA NARUC Table'!$B:$G,4,FALSE),"")</f>
        <v>Operations Expense</v>
      </c>
      <c r="J207" s="336" t="str">
        <f>IFERROR(VLOOKUP($B207,'IA NARUC Table'!$B:$G,5,FALSE),"")</f>
        <v>General T/D</v>
      </c>
      <c r="K207" s="336" t="s">
        <v>7774</v>
      </c>
    </row>
    <row r="208" spans="2:11" x14ac:dyDescent="0.25">
      <c r="B208" s="218" t="s">
        <v>4532</v>
      </c>
      <c r="C208" s="214" t="s">
        <v>7481</v>
      </c>
      <c r="D208" s="214" t="s">
        <v>7788</v>
      </c>
      <c r="E208" s="216">
        <f t="shared" si="3"/>
        <v>2678</v>
      </c>
      <c r="F208" s="215">
        <v>2678</v>
      </c>
      <c r="G208" s="215"/>
      <c r="H208" s="213"/>
      <c r="I208" s="335" t="str">
        <f>IFERROR(VLOOKUP($B208,'IA NARUC Table'!$B:$G,4,FALSE),"")</f>
        <v>Operations Expense</v>
      </c>
      <c r="J208" s="336" t="str">
        <f>IFERROR(VLOOKUP($B208,'IA NARUC Table'!$B:$G,5,FALSE),"")</f>
        <v>Customer Accounting</v>
      </c>
      <c r="K208" s="336" t="s">
        <v>7774</v>
      </c>
    </row>
    <row r="209" spans="2:11" x14ac:dyDescent="0.25">
      <c r="B209" s="218" t="s">
        <v>4531</v>
      </c>
      <c r="C209" s="214" t="s">
        <v>7481</v>
      </c>
      <c r="D209" s="214" t="s">
        <v>7789</v>
      </c>
      <c r="E209" s="216">
        <f t="shared" si="3"/>
        <v>6642</v>
      </c>
      <c r="F209" s="215">
        <v>6642</v>
      </c>
      <c r="G209" s="215"/>
      <c r="H209" s="213"/>
      <c r="I209" s="335" t="str">
        <f>IFERROR(VLOOKUP($B209,'IA NARUC Table'!$B:$G,4,FALSE),"")</f>
        <v>Operations Expense</v>
      </c>
      <c r="J209" s="336" t="str">
        <f>IFERROR(VLOOKUP($B209,'IA NARUC Table'!$B:$G,5,FALSE),"")</f>
        <v>Admin &amp; General</v>
      </c>
      <c r="K209" s="336" t="s">
        <v>7774</v>
      </c>
    </row>
    <row r="210" spans="2:11" x14ac:dyDescent="0.25">
      <c r="B210" s="218" t="s">
        <v>4520</v>
      </c>
      <c r="C210" s="214" t="s">
        <v>7465</v>
      </c>
      <c r="D210" s="214" t="s">
        <v>7790</v>
      </c>
      <c r="E210" s="216">
        <f t="shared" si="3"/>
        <v>0</v>
      </c>
      <c r="F210" s="215">
        <v>0</v>
      </c>
      <c r="G210" s="215"/>
      <c r="H210" s="213"/>
      <c r="I210" s="335" t="str">
        <f>IFERROR(VLOOKUP($B210,'IA NARUC Table'!$B:$G,4,FALSE),"")</f>
        <v>Operations Expense</v>
      </c>
      <c r="J210" s="336" t="str">
        <f>IFERROR(VLOOKUP($B210,'IA NARUC Table'!$B:$G,5,FALSE),"")</f>
        <v>Admin &amp; General</v>
      </c>
      <c r="K210" s="336" t="s">
        <v>7774</v>
      </c>
    </row>
    <row r="211" spans="2:11" x14ac:dyDescent="0.25">
      <c r="B211" s="218" t="s">
        <v>4663</v>
      </c>
      <c r="C211" s="214" t="s">
        <v>7482</v>
      </c>
      <c r="D211" s="214" t="s">
        <v>7792</v>
      </c>
      <c r="E211" s="216">
        <f t="shared" si="3"/>
        <v>0</v>
      </c>
      <c r="F211" s="215">
        <v>0</v>
      </c>
      <c r="G211" s="215"/>
      <c r="H211" s="213"/>
      <c r="I211" s="335" t="str">
        <f>IFERROR(VLOOKUP($B211,'IA NARUC Table'!$B:$G,4,FALSE),"")</f>
        <v>Operations Expense</v>
      </c>
      <c r="J211" s="336" t="str">
        <f>IFERROR(VLOOKUP($B211,'IA NARUC Table'!$B:$G,5,FALSE),"")</f>
        <v>Admin &amp; General</v>
      </c>
      <c r="K211" s="336" t="s">
        <v>7791</v>
      </c>
    </row>
    <row r="212" spans="2:11" x14ac:dyDescent="0.25">
      <c r="B212" s="218" t="s">
        <v>4545</v>
      </c>
      <c r="C212" s="214" t="s">
        <v>7465</v>
      </c>
      <c r="D212" s="214" t="s">
        <v>7793</v>
      </c>
      <c r="E212" s="216">
        <f t="shared" si="3"/>
        <v>0</v>
      </c>
      <c r="F212" s="215">
        <v>0</v>
      </c>
      <c r="G212" s="215"/>
      <c r="H212" s="213"/>
      <c r="I212" s="335" t="str">
        <f>IFERROR(VLOOKUP($B212,'IA NARUC Table'!$B:$G,4,FALSE),"")</f>
        <v>Operations Expense</v>
      </c>
      <c r="J212" s="336" t="str">
        <f>IFERROR(VLOOKUP($B212,'IA NARUC Table'!$B:$G,5,FALSE),"")</f>
        <v>Admin &amp; General</v>
      </c>
      <c r="K212" s="336" t="s">
        <v>7791</v>
      </c>
    </row>
    <row r="213" spans="2:11" x14ac:dyDescent="0.25">
      <c r="B213" s="218" t="s">
        <v>4621</v>
      </c>
      <c r="C213" s="214" t="s">
        <v>7465</v>
      </c>
      <c r="D213" s="214" t="s">
        <v>7795</v>
      </c>
      <c r="E213" s="216">
        <f t="shared" si="3"/>
        <v>68316</v>
      </c>
      <c r="F213" s="215">
        <v>68316</v>
      </c>
      <c r="G213" s="215"/>
      <c r="H213" s="213"/>
      <c r="I213" s="335" t="str">
        <f>IFERROR(VLOOKUP($B213,'IA NARUC Table'!$B:$G,4,FALSE),"")</f>
        <v>Operations Expense</v>
      </c>
      <c r="J213" s="336" t="str">
        <f>IFERROR(VLOOKUP($B213,'IA NARUC Table'!$B:$G,5,FALSE),"")</f>
        <v>Admin &amp; General</v>
      </c>
      <c r="K213" s="336" t="s">
        <v>7794</v>
      </c>
    </row>
    <row r="214" spans="2:11" x14ac:dyDescent="0.25">
      <c r="B214" s="218" t="s">
        <v>4620</v>
      </c>
      <c r="C214" s="214" t="s">
        <v>7465</v>
      </c>
      <c r="D214" s="214" t="s">
        <v>7796</v>
      </c>
      <c r="E214" s="216">
        <f t="shared" si="3"/>
        <v>12614</v>
      </c>
      <c r="F214" s="215">
        <v>12614</v>
      </c>
      <c r="G214" s="215"/>
      <c r="H214" s="213"/>
      <c r="I214" s="335" t="str">
        <f>IFERROR(VLOOKUP($B214,'IA NARUC Table'!$B:$G,4,FALSE),"")</f>
        <v>Operations Expense</v>
      </c>
      <c r="J214" s="336" t="str">
        <f>IFERROR(VLOOKUP($B214,'IA NARUC Table'!$B:$G,5,FALSE),"")</f>
        <v>Admin &amp; General</v>
      </c>
      <c r="K214" s="336" t="s">
        <v>7794</v>
      </c>
    </row>
    <row r="215" spans="2:11" x14ac:dyDescent="0.25">
      <c r="B215" s="218" t="s">
        <v>4619</v>
      </c>
      <c r="C215" s="214" t="s">
        <v>7465</v>
      </c>
      <c r="D215" s="214" t="s">
        <v>7797</v>
      </c>
      <c r="E215" s="216">
        <f t="shared" si="3"/>
        <v>59564</v>
      </c>
      <c r="F215" s="215">
        <v>59564</v>
      </c>
      <c r="G215" s="215"/>
      <c r="H215" s="213"/>
      <c r="I215" s="335" t="str">
        <f>IFERROR(VLOOKUP($B215,'IA NARUC Table'!$B:$G,4,FALSE),"")</f>
        <v>Operations Expense</v>
      </c>
      <c r="J215" s="336" t="str">
        <f>IFERROR(VLOOKUP($B215,'IA NARUC Table'!$B:$G,5,FALSE),"")</f>
        <v>Admin &amp; General</v>
      </c>
      <c r="K215" s="336" t="s">
        <v>7794</v>
      </c>
    </row>
    <row r="216" spans="2:11" x14ac:dyDescent="0.25">
      <c r="B216" s="218" t="s">
        <v>4573</v>
      </c>
      <c r="C216" s="214" t="s">
        <v>7465</v>
      </c>
      <c r="D216" s="214" t="s">
        <v>7798</v>
      </c>
      <c r="E216" s="216">
        <f t="shared" si="3"/>
        <v>7</v>
      </c>
      <c r="F216" s="215">
        <v>7</v>
      </c>
      <c r="G216" s="215"/>
      <c r="H216" s="213"/>
      <c r="I216" s="335" t="str">
        <f>IFERROR(VLOOKUP($B216,'IA NARUC Table'!$B:$G,4,FALSE),"")</f>
        <v>Operations Expense</v>
      </c>
      <c r="J216" s="336" t="str">
        <f>IFERROR(VLOOKUP($B216,'IA NARUC Table'!$B:$G,5,FALSE),"")</f>
        <v>Admin &amp; General</v>
      </c>
      <c r="K216" s="336" t="s">
        <v>7794</v>
      </c>
    </row>
    <row r="217" spans="2:11" x14ac:dyDescent="0.25">
      <c r="B217" s="218" t="s">
        <v>4683</v>
      </c>
      <c r="C217" s="214" t="s">
        <v>7475</v>
      </c>
      <c r="D217" s="214" t="s">
        <v>7800</v>
      </c>
      <c r="E217" s="216">
        <f t="shared" si="3"/>
        <v>2772</v>
      </c>
      <c r="F217" s="215">
        <v>2772</v>
      </c>
      <c r="G217" s="215"/>
      <c r="H217" s="213"/>
      <c r="I217" s="335" t="str">
        <f>IFERROR(VLOOKUP($B217,'IA NARUC Table'!$B:$G,4,FALSE),"")</f>
        <v>Operations Expense</v>
      </c>
      <c r="J217" s="336" t="str">
        <f>IFERROR(VLOOKUP($B217,'IA NARUC Table'!$B:$G,5,FALSE),"")</f>
        <v>Source of Supply</v>
      </c>
      <c r="K217" s="336" t="s">
        <v>7799</v>
      </c>
    </row>
    <row r="218" spans="2:11" x14ac:dyDescent="0.25">
      <c r="B218" s="218" t="s">
        <v>4682</v>
      </c>
      <c r="C218" s="214" t="s">
        <v>7475</v>
      </c>
      <c r="D218" s="214" t="s">
        <v>7801</v>
      </c>
      <c r="E218" s="216">
        <f t="shared" si="3"/>
        <v>26664</v>
      </c>
      <c r="F218" s="215">
        <v>26664</v>
      </c>
      <c r="G218" s="215"/>
      <c r="H218" s="213"/>
      <c r="I218" s="335" t="str">
        <f>IFERROR(VLOOKUP($B218,'IA NARUC Table'!$B:$G,4,FALSE),"")</f>
        <v>Operations Expense</v>
      </c>
      <c r="J218" s="336" t="str">
        <f>IFERROR(VLOOKUP($B218,'IA NARUC Table'!$B:$G,5,FALSE),"")</f>
        <v>Pumping</v>
      </c>
      <c r="K218" s="336" t="s">
        <v>7799</v>
      </c>
    </row>
    <row r="219" spans="2:11" x14ac:dyDescent="0.25">
      <c r="B219" s="218" t="s">
        <v>4681</v>
      </c>
      <c r="C219" s="214" t="s">
        <v>7476</v>
      </c>
      <c r="D219" s="214" t="s">
        <v>7802</v>
      </c>
      <c r="E219" s="216">
        <f t="shared" si="3"/>
        <v>4032</v>
      </c>
      <c r="F219" s="215">
        <v>4032</v>
      </c>
      <c r="G219" s="215"/>
      <c r="H219" s="26"/>
      <c r="I219" s="335" t="str">
        <f>IFERROR(VLOOKUP($B219,'IA NARUC Table'!$B:$G,4,FALSE),"")</f>
        <v>Operations Expense</v>
      </c>
      <c r="J219" s="336" t="str">
        <f>IFERROR(VLOOKUP($B219,'IA NARUC Table'!$B:$G,5,FALSE),"")</f>
        <v>Water Treatment</v>
      </c>
      <c r="K219" s="336" t="s">
        <v>7799</v>
      </c>
    </row>
    <row r="220" spans="2:11" x14ac:dyDescent="0.25">
      <c r="B220" s="218" t="s">
        <v>4680</v>
      </c>
      <c r="C220" s="214" t="s">
        <v>7474</v>
      </c>
      <c r="D220" s="214" t="s">
        <v>7803</v>
      </c>
      <c r="E220" s="216">
        <f t="shared" si="3"/>
        <v>8700</v>
      </c>
      <c r="F220" s="215">
        <v>8700</v>
      </c>
      <c r="G220" s="215"/>
      <c r="H220" s="213"/>
      <c r="I220" s="335" t="str">
        <f>IFERROR(VLOOKUP($B220,'IA NARUC Table'!$B:$G,4,FALSE),"")</f>
        <v>Operations Expense</v>
      </c>
      <c r="J220" s="336" t="str">
        <f>IFERROR(VLOOKUP($B220,'IA NARUC Table'!$B:$G,5,FALSE),"")</f>
        <v>General T/D</v>
      </c>
      <c r="K220" s="336" t="s">
        <v>7799</v>
      </c>
    </row>
    <row r="221" spans="2:11" x14ac:dyDescent="0.25">
      <c r="B221" s="218" t="s">
        <v>4679</v>
      </c>
      <c r="C221" s="214" t="s">
        <v>7477</v>
      </c>
      <c r="D221" s="214" t="s">
        <v>7804</v>
      </c>
      <c r="E221" s="216">
        <f t="shared" si="3"/>
        <v>87144</v>
      </c>
      <c r="F221" s="215">
        <v>87144</v>
      </c>
      <c r="G221" s="215"/>
      <c r="H221" s="213"/>
      <c r="I221" s="335" t="str">
        <f>IFERROR(VLOOKUP($B221,'IA NARUC Table'!$B:$G,4,FALSE),"")</f>
        <v>Operations Expense</v>
      </c>
      <c r="J221" s="336" t="str">
        <f>IFERROR(VLOOKUP($B221,'IA NARUC Table'!$B:$G,5,FALSE),"")</f>
        <v>Customer Accounting</v>
      </c>
      <c r="K221" s="336" t="s">
        <v>7799</v>
      </c>
    </row>
    <row r="222" spans="2:11" x14ac:dyDescent="0.25">
      <c r="B222" s="218" t="s">
        <v>4678</v>
      </c>
      <c r="C222" s="214" t="s">
        <v>7478</v>
      </c>
      <c r="D222" s="214" t="s">
        <v>7805</v>
      </c>
      <c r="E222" s="216">
        <f t="shared" si="3"/>
        <v>27708</v>
      </c>
      <c r="F222" s="215">
        <v>27708</v>
      </c>
      <c r="G222" s="215"/>
      <c r="H222" s="213"/>
      <c r="I222" s="335" t="str">
        <f>IFERROR(VLOOKUP($B222,'IA NARUC Table'!$B:$G,4,FALSE),"")</f>
        <v>Operations Expense</v>
      </c>
      <c r="J222" s="336" t="str">
        <f>IFERROR(VLOOKUP($B222,'IA NARUC Table'!$B:$G,5,FALSE),"")</f>
        <v>Admin &amp; General</v>
      </c>
      <c r="K222" s="336" t="s">
        <v>7799</v>
      </c>
    </row>
    <row r="223" spans="2:11" x14ac:dyDescent="0.25">
      <c r="B223" s="218" t="s">
        <v>4676</v>
      </c>
      <c r="C223" s="214" t="s">
        <v>7479</v>
      </c>
      <c r="D223" s="214" t="s">
        <v>7806</v>
      </c>
      <c r="E223" s="216">
        <f t="shared" si="3"/>
        <v>0</v>
      </c>
      <c r="F223" s="215">
        <v>0</v>
      </c>
      <c r="G223" s="215"/>
      <c r="H223" s="213"/>
      <c r="I223" s="335" t="str">
        <f>IFERROR(VLOOKUP($B223,'IA NARUC Table'!$B:$G,4,FALSE),"")</f>
        <v>Operations Expense</v>
      </c>
      <c r="J223" s="336" t="str">
        <f>IFERROR(VLOOKUP($B223,'IA NARUC Table'!$B:$G,5,FALSE),"")</f>
        <v>Source of Supply</v>
      </c>
      <c r="K223" s="336" t="s">
        <v>7799</v>
      </c>
    </row>
    <row r="224" spans="2:11" x14ac:dyDescent="0.25">
      <c r="B224" s="218" t="s">
        <v>4675</v>
      </c>
      <c r="C224" s="214" t="s">
        <v>7479</v>
      </c>
      <c r="D224" s="214" t="s">
        <v>7807</v>
      </c>
      <c r="E224" s="216">
        <f t="shared" si="3"/>
        <v>2184</v>
      </c>
      <c r="F224" s="215">
        <v>2184</v>
      </c>
      <c r="G224" s="215"/>
      <c r="H224" s="213"/>
      <c r="I224" s="335" t="str">
        <f>IFERROR(VLOOKUP($B224,'IA NARUC Table'!$B:$G,4,FALSE),"")</f>
        <v>Operations Expense</v>
      </c>
      <c r="J224" s="336" t="str">
        <f>IFERROR(VLOOKUP($B224,'IA NARUC Table'!$B:$G,5,FALSE),"")</f>
        <v>Pumping</v>
      </c>
      <c r="K224" s="336" t="s">
        <v>7799</v>
      </c>
    </row>
    <row r="225" spans="2:11" x14ac:dyDescent="0.25">
      <c r="B225" s="218" t="s">
        <v>4674</v>
      </c>
      <c r="C225" s="214" t="s">
        <v>7466</v>
      </c>
      <c r="D225" s="214" t="s">
        <v>7808</v>
      </c>
      <c r="E225" s="216">
        <f t="shared" si="3"/>
        <v>1644</v>
      </c>
      <c r="F225" s="215">
        <v>1644</v>
      </c>
      <c r="G225" s="215"/>
      <c r="H225" s="213"/>
      <c r="I225" s="335" t="str">
        <f>IFERROR(VLOOKUP($B225,'IA NARUC Table'!$B:$G,4,FALSE),"")</f>
        <v>Operations Expense</v>
      </c>
      <c r="J225" s="336" t="str">
        <f>IFERROR(VLOOKUP($B225,'IA NARUC Table'!$B:$G,5,FALSE),"")</f>
        <v>Water Treatment</v>
      </c>
      <c r="K225" s="336" t="s">
        <v>7799</v>
      </c>
    </row>
    <row r="226" spans="2:11" x14ac:dyDescent="0.25">
      <c r="B226" s="218" t="s">
        <v>4673</v>
      </c>
      <c r="C226" s="214" t="s">
        <v>7480</v>
      </c>
      <c r="D226" s="214" t="s">
        <v>7809</v>
      </c>
      <c r="E226" s="216">
        <f t="shared" si="3"/>
        <v>3372</v>
      </c>
      <c r="F226" s="215">
        <v>3372</v>
      </c>
      <c r="G226" s="215"/>
      <c r="H226" s="213"/>
      <c r="I226" s="335" t="str">
        <f>IFERROR(VLOOKUP($B226,'IA NARUC Table'!$B:$G,4,FALSE),"")</f>
        <v>Operations Expense</v>
      </c>
      <c r="J226" s="336" t="str">
        <f>IFERROR(VLOOKUP($B226,'IA NARUC Table'!$B:$G,5,FALSE),"")</f>
        <v>General T/D</v>
      </c>
      <c r="K226" s="336" t="s">
        <v>7799</v>
      </c>
    </row>
    <row r="227" spans="2:11" x14ac:dyDescent="0.25">
      <c r="B227" s="218" t="s">
        <v>4672</v>
      </c>
      <c r="C227" s="214" t="s">
        <v>7480</v>
      </c>
      <c r="D227" s="214" t="s">
        <v>7810</v>
      </c>
      <c r="E227" s="216">
        <f t="shared" si="3"/>
        <v>2532</v>
      </c>
      <c r="F227" s="215">
        <v>2532</v>
      </c>
      <c r="G227" s="215"/>
      <c r="H227" s="213"/>
      <c r="I227" s="335" t="str">
        <f>IFERROR(VLOOKUP($B227,'IA NARUC Table'!$B:$G,4,FALSE),"")</f>
        <v>Operations Expense</v>
      </c>
      <c r="J227" s="336" t="str">
        <f>IFERROR(VLOOKUP($B227,'IA NARUC Table'!$B:$G,5,FALSE),"")</f>
        <v>Storage</v>
      </c>
      <c r="K227" s="336" t="s">
        <v>7799</v>
      </c>
    </row>
    <row r="228" spans="2:11" x14ac:dyDescent="0.25">
      <c r="B228" s="218" t="s">
        <v>4664</v>
      </c>
      <c r="C228" s="214" t="s">
        <v>7465</v>
      </c>
      <c r="D228" s="214" t="s">
        <v>7811</v>
      </c>
      <c r="E228" s="216">
        <f t="shared" si="3"/>
        <v>-37715</v>
      </c>
      <c r="F228" s="215">
        <v>-37715</v>
      </c>
      <c r="G228" s="215"/>
      <c r="H228" s="213"/>
      <c r="I228" s="335" t="str">
        <f>IFERROR(VLOOKUP($B228,'IA NARUC Table'!$B:$G,4,FALSE),"")</f>
        <v>Operations Expense</v>
      </c>
      <c r="J228" s="336" t="str">
        <f>IFERROR(VLOOKUP($B228,'IA NARUC Table'!$B:$G,5,FALSE),"")</f>
        <v>Admin &amp; General</v>
      </c>
      <c r="K228" s="336" t="s">
        <v>7799</v>
      </c>
    </row>
    <row r="229" spans="2:11" x14ac:dyDescent="0.25">
      <c r="B229" s="218" t="s">
        <v>4658</v>
      </c>
      <c r="C229" s="214" t="s">
        <v>7465</v>
      </c>
      <c r="D229" s="214" t="s">
        <v>7812</v>
      </c>
      <c r="E229" s="216">
        <f t="shared" si="3"/>
        <v>108012</v>
      </c>
      <c r="F229" s="215">
        <v>108012</v>
      </c>
      <c r="G229" s="215"/>
      <c r="H229" s="213"/>
      <c r="I229" s="335" t="str">
        <f>IFERROR(VLOOKUP($B229,'IA NARUC Table'!$B:$G,4,FALSE),"")</f>
        <v>Operations Expense</v>
      </c>
      <c r="J229" s="336" t="str">
        <f>IFERROR(VLOOKUP($B229,'IA NARUC Table'!$B:$G,5,FALSE),"")</f>
        <v>Admin &amp; General</v>
      </c>
      <c r="K229" s="336" t="s">
        <v>7799</v>
      </c>
    </row>
    <row r="230" spans="2:11" x14ac:dyDescent="0.25">
      <c r="B230" s="218" t="s">
        <v>4657</v>
      </c>
      <c r="C230" s="214" t="s">
        <v>7465</v>
      </c>
      <c r="D230" s="214" t="s">
        <v>7813</v>
      </c>
      <c r="E230" s="216">
        <f t="shared" si="3"/>
        <v>0</v>
      </c>
      <c r="F230" s="215">
        <v>0</v>
      </c>
      <c r="G230" s="215"/>
      <c r="H230" s="213"/>
      <c r="I230" s="335" t="str">
        <f>IFERROR(VLOOKUP($B230,'IA NARUC Table'!$B:$G,4,FALSE),"")</f>
        <v>Operations Expense</v>
      </c>
      <c r="J230" s="336" t="str">
        <f>IFERROR(VLOOKUP($B230,'IA NARUC Table'!$B:$G,5,FALSE),"")</f>
        <v>Admin &amp; General</v>
      </c>
      <c r="K230" s="336" t="s">
        <v>7799</v>
      </c>
    </row>
    <row r="231" spans="2:11" x14ac:dyDescent="0.25">
      <c r="B231" s="218" t="s">
        <v>4655</v>
      </c>
      <c r="C231" s="214" t="s">
        <v>7465</v>
      </c>
      <c r="D231" s="214" t="s">
        <v>7814</v>
      </c>
      <c r="E231" s="216">
        <f t="shared" si="3"/>
        <v>0</v>
      </c>
      <c r="F231" s="215">
        <v>0</v>
      </c>
      <c r="G231" s="215"/>
      <c r="H231" s="213"/>
      <c r="I231" s="335" t="str">
        <f>IFERROR(VLOOKUP($B231,'IA NARUC Table'!$B:$G,4,FALSE),"")</f>
        <v>Operations Expense</v>
      </c>
      <c r="J231" s="336" t="str">
        <f>IFERROR(VLOOKUP($B231,'IA NARUC Table'!$B:$G,5,FALSE),"")</f>
        <v>Admin &amp; General</v>
      </c>
      <c r="K231" s="336" t="s">
        <v>7799</v>
      </c>
    </row>
    <row r="232" spans="2:11" x14ac:dyDescent="0.25">
      <c r="B232" s="218" t="s">
        <v>4654</v>
      </c>
      <c r="C232" s="214" t="s">
        <v>7465</v>
      </c>
      <c r="D232" s="214" t="s">
        <v>7815</v>
      </c>
      <c r="E232" s="216">
        <f t="shared" si="3"/>
        <v>0</v>
      </c>
      <c r="F232" s="215">
        <v>0</v>
      </c>
      <c r="G232" s="215"/>
      <c r="H232" s="26"/>
      <c r="I232" s="335" t="str">
        <f>IFERROR(VLOOKUP($B232,'IA NARUC Table'!$B:$G,4,FALSE),"")</f>
        <v>Operations Expense</v>
      </c>
      <c r="J232" s="336" t="str">
        <f>IFERROR(VLOOKUP($B232,'IA NARUC Table'!$B:$G,5,FALSE),"")</f>
        <v>Admin &amp; General</v>
      </c>
      <c r="K232" s="336" t="s">
        <v>7799</v>
      </c>
    </row>
    <row r="233" spans="2:11" x14ac:dyDescent="0.25">
      <c r="B233" s="218" t="s">
        <v>4653</v>
      </c>
      <c r="C233" s="214" t="s">
        <v>7465</v>
      </c>
      <c r="D233" s="214" t="s">
        <v>7816</v>
      </c>
      <c r="E233" s="216">
        <f t="shared" si="3"/>
        <v>57816</v>
      </c>
      <c r="F233" s="215">
        <v>57816</v>
      </c>
      <c r="G233" s="215"/>
      <c r="H233" s="213"/>
      <c r="I233" s="335" t="str">
        <f>IFERROR(VLOOKUP($B233,'IA NARUC Table'!$B:$G,4,FALSE),"")</f>
        <v>Operations Expense</v>
      </c>
      <c r="J233" s="336" t="str">
        <f>IFERROR(VLOOKUP($B233,'IA NARUC Table'!$B:$G,5,FALSE),"")</f>
        <v>Admin &amp; General</v>
      </c>
      <c r="K233" s="336" t="s">
        <v>7799</v>
      </c>
    </row>
    <row r="234" spans="2:11" x14ac:dyDescent="0.25">
      <c r="B234" s="218" t="s">
        <v>4651</v>
      </c>
      <c r="C234" s="214" t="s">
        <v>7465</v>
      </c>
      <c r="D234" s="214" t="s">
        <v>7817</v>
      </c>
      <c r="E234" s="216">
        <f t="shared" si="3"/>
        <v>7212</v>
      </c>
      <c r="F234" s="215">
        <v>7212</v>
      </c>
      <c r="G234" s="215"/>
      <c r="H234" s="213"/>
      <c r="I234" s="335" t="str">
        <f>IFERROR(VLOOKUP($B234,'IA NARUC Table'!$B:$G,4,FALSE),"")</f>
        <v>Operations Expense</v>
      </c>
      <c r="J234" s="336" t="str">
        <f>IFERROR(VLOOKUP($B234,'IA NARUC Table'!$B:$G,5,FALSE),"")</f>
        <v>Admin &amp; General</v>
      </c>
      <c r="K234" s="336" t="s">
        <v>7799</v>
      </c>
    </row>
    <row r="235" spans="2:11" x14ac:dyDescent="0.25">
      <c r="B235" s="218" t="s">
        <v>4640</v>
      </c>
      <c r="C235" s="214" t="s">
        <v>7465</v>
      </c>
      <c r="D235" s="214" t="s">
        <v>7818</v>
      </c>
      <c r="E235" s="216">
        <f t="shared" si="3"/>
        <v>4692</v>
      </c>
      <c r="F235" s="215">
        <v>4692</v>
      </c>
      <c r="G235" s="215"/>
      <c r="H235" s="213"/>
      <c r="I235" s="335" t="str">
        <f>IFERROR(VLOOKUP($B235,'IA NARUC Table'!$B:$G,4,FALSE),"")</f>
        <v>Operations Expense</v>
      </c>
      <c r="J235" s="336" t="str">
        <f>IFERROR(VLOOKUP($B235,'IA NARUC Table'!$B:$G,5,FALSE),"")</f>
        <v>Admin &amp; General</v>
      </c>
      <c r="K235" s="336" t="s">
        <v>7799</v>
      </c>
    </row>
    <row r="236" spans="2:11" x14ac:dyDescent="0.25">
      <c r="B236" s="218" t="s">
        <v>4639</v>
      </c>
      <c r="C236" s="214" t="s">
        <v>7465</v>
      </c>
      <c r="D236" s="214" t="s">
        <v>7819</v>
      </c>
      <c r="E236" s="216">
        <f t="shared" si="3"/>
        <v>0</v>
      </c>
      <c r="F236" s="215">
        <v>0</v>
      </c>
      <c r="G236" s="215"/>
      <c r="H236" s="213"/>
      <c r="I236" s="335" t="str">
        <f>IFERROR(VLOOKUP($B236,'IA NARUC Table'!$B:$G,4,FALSE),"")</f>
        <v>Operations Expense</v>
      </c>
      <c r="J236" s="336" t="str">
        <f>IFERROR(VLOOKUP($B236,'IA NARUC Table'!$B:$G,5,FALSE),"")</f>
        <v>Admin &amp; General</v>
      </c>
      <c r="K236" s="336" t="s">
        <v>7799</v>
      </c>
    </row>
    <row r="237" spans="2:11" x14ac:dyDescent="0.25">
      <c r="B237" s="218" t="s">
        <v>4637</v>
      </c>
      <c r="C237" s="214" t="s">
        <v>7465</v>
      </c>
      <c r="D237" s="214" t="s">
        <v>7820</v>
      </c>
      <c r="E237" s="216">
        <f t="shared" si="3"/>
        <v>39852</v>
      </c>
      <c r="F237" s="215">
        <v>39852</v>
      </c>
      <c r="G237" s="215"/>
      <c r="H237" s="213"/>
      <c r="I237" s="335" t="str">
        <f>IFERROR(VLOOKUP($B237,'IA NARUC Table'!$B:$G,4,FALSE),"")</f>
        <v>Operations Expense</v>
      </c>
      <c r="J237" s="336" t="str">
        <f>IFERROR(VLOOKUP($B237,'IA NARUC Table'!$B:$G,5,FALSE),"")</f>
        <v>Admin &amp; General</v>
      </c>
      <c r="K237" s="336" t="s">
        <v>7799</v>
      </c>
    </row>
    <row r="238" spans="2:11" x14ac:dyDescent="0.25">
      <c r="B238" s="218" t="s">
        <v>4636</v>
      </c>
      <c r="C238" s="214" t="s">
        <v>7465</v>
      </c>
      <c r="D238" s="214" t="s">
        <v>7821</v>
      </c>
      <c r="E238" s="216">
        <f t="shared" si="3"/>
        <v>73212</v>
      </c>
      <c r="F238" s="215">
        <v>73212</v>
      </c>
      <c r="G238" s="215"/>
      <c r="H238" s="213"/>
      <c r="I238" s="335" t="str">
        <f>IFERROR(VLOOKUP($B238,'IA NARUC Table'!$B:$G,4,FALSE),"")</f>
        <v>Operations Expense</v>
      </c>
      <c r="J238" s="336" t="str">
        <f>IFERROR(VLOOKUP($B238,'IA NARUC Table'!$B:$G,5,FALSE),"")</f>
        <v>Admin &amp; General</v>
      </c>
      <c r="K238" s="336" t="s">
        <v>7799</v>
      </c>
    </row>
    <row r="239" spans="2:11" x14ac:dyDescent="0.25">
      <c r="B239" s="218" t="s">
        <v>4617</v>
      </c>
      <c r="C239" s="214" t="s">
        <v>7465</v>
      </c>
      <c r="D239" s="214" t="s">
        <v>7822</v>
      </c>
      <c r="E239" s="216">
        <f t="shared" si="3"/>
        <v>0</v>
      </c>
      <c r="F239" s="215">
        <v>0</v>
      </c>
      <c r="G239" s="215"/>
      <c r="H239" s="213"/>
      <c r="I239" s="335" t="str">
        <f>IFERROR(VLOOKUP($B239,'IA NARUC Table'!$B:$G,4,FALSE),"")</f>
        <v>Operations Expense</v>
      </c>
      <c r="J239" s="336" t="str">
        <f>IFERROR(VLOOKUP($B239,'IA NARUC Table'!$B:$G,5,FALSE),"")</f>
        <v>Admin &amp; General</v>
      </c>
      <c r="K239" s="336" t="s">
        <v>7799</v>
      </c>
    </row>
    <row r="240" spans="2:11" x14ac:dyDescent="0.25">
      <c r="B240" s="218" t="s">
        <v>4602</v>
      </c>
      <c r="C240" s="214" t="s">
        <v>7465</v>
      </c>
      <c r="D240" s="214" t="s">
        <v>7823</v>
      </c>
      <c r="E240" s="216">
        <f t="shared" si="3"/>
        <v>0</v>
      </c>
      <c r="F240" s="215">
        <v>0</v>
      </c>
      <c r="G240" s="215"/>
      <c r="H240" s="213"/>
      <c r="I240" s="335" t="str">
        <f>IFERROR(VLOOKUP($B240,'IA NARUC Table'!$B:$G,4,FALSE),"")</f>
        <v>Operations Expense</v>
      </c>
      <c r="J240" s="336" t="str">
        <f>IFERROR(VLOOKUP($B240,'IA NARUC Table'!$B:$G,5,FALSE),"")</f>
        <v>Admin &amp; General</v>
      </c>
      <c r="K240" s="336" t="s">
        <v>7799</v>
      </c>
    </row>
    <row r="241" spans="2:11" x14ac:dyDescent="0.25">
      <c r="B241" s="218" t="s">
        <v>4600</v>
      </c>
      <c r="C241" s="214" t="s">
        <v>7465</v>
      </c>
      <c r="D241" s="214" t="s">
        <v>7824</v>
      </c>
      <c r="E241" s="216">
        <f t="shared" si="3"/>
        <v>40944</v>
      </c>
      <c r="F241" s="215">
        <v>40944</v>
      </c>
      <c r="G241" s="215"/>
      <c r="H241" s="213"/>
      <c r="I241" s="335" t="str">
        <f>IFERROR(VLOOKUP($B241,'IA NARUC Table'!$B:$G,4,FALSE),"")</f>
        <v>Operations Expense</v>
      </c>
      <c r="J241" s="336" t="str">
        <f>IFERROR(VLOOKUP($B241,'IA NARUC Table'!$B:$G,5,FALSE),"")</f>
        <v>Admin &amp; General</v>
      </c>
      <c r="K241" s="336" t="s">
        <v>7799</v>
      </c>
    </row>
    <row r="242" spans="2:11" x14ac:dyDescent="0.25">
      <c r="B242" s="218" t="s">
        <v>4593</v>
      </c>
      <c r="C242" s="214" t="s">
        <v>7466</v>
      </c>
      <c r="D242" s="214" t="s">
        <v>7825</v>
      </c>
      <c r="E242" s="216">
        <f t="shared" si="3"/>
        <v>31020</v>
      </c>
      <c r="F242" s="215">
        <v>31020</v>
      </c>
      <c r="G242" s="215"/>
      <c r="H242" s="213"/>
      <c r="I242" s="335" t="str">
        <f>IFERROR(VLOOKUP($B242,'IA NARUC Table'!$B:$G,4,FALSE),"")</f>
        <v>Operations Expense</v>
      </c>
      <c r="J242" s="336" t="str">
        <f>IFERROR(VLOOKUP($B242,'IA NARUC Table'!$B:$G,5,FALSE),"")</f>
        <v>Water Treatment</v>
      </c>
      <c r="K242" s="336" t="s">
        <v>7799</v>
      </c>
    </row>
    <row r="243" spans="2:11" x14ac:dyDescent="0.25">
      <c r="B243" s="218" t="s">
        <v>4592</v>
      </c>
      <c r="C243" s="214" t="s">
        <v>7465</v>
      </c>
      <c r="D243" s="214" t="s">
        <v>7826</v>
      </c>
      <c r="E243" s="216">
        <f t="shared" si="3"/>
        <v>0</v>
      </c>
      <c r="F243" s="215">
        <v>0</v>
      </c>
      <c r="G243" s="215"/>
      <c r="H243" s="213"/>
      <c r="I243" s="335" t="str">
        <f>IFERROR(VLOOKUP($B243,'IA NARUC Table'!$B:$G,4,FALSE),"")</f>
        <v>Operations Expense</v>
      </c>
      <c r="J243" s="336" t="str">
        <f>IFERROR(VLOOKUP($B243,'IA NARUC Table'!$B:$G,5,FALSE),"")</f>
        <v>Admin &amp; General</v>
      </c>
      <c r="K243" s="336" t="s">
        <v>7799</v>
      </c>
    </row>
    <row r="244" spans="2:11" x14ac:dyDescent="0.25">
      <c r="B244" s="218" t="s">
        <v>4572</v>
      </c>
      <c r="C244" s="214" t="s">
        <v>7465</v>
      </c>
      <c r="D244" s="214" t="s">
        <v>7827</v>
      </c>
      <c r="E244" s="216">
        <f t="shared" si="3"/>
        <v>12336</v>
      </c>
      <c r="F244" s="215">
        <v>12336</v>
      </c>
      <c r="G244" s="215"/>
      <c r="H244" s="213"/>
      <c r="I244" s="335" t="str">
        <f>IFERROR(VLOOKUP($B244,'IA NARUC Table'!$B:$G,4,FALSE),"")</f>
        <v>Operations Expense</v>
      </c>
      <c r="J244" s="336" t="str">
        <f>IFERROR(VLOOKUP($B244,'IA NARUC Table'!$B:$G,5,FALSE),"")</f>
        <v>Admin &amp; General</v>
      </c>
      <c r="K244" s="336" t="s">
        <v>7799</v>
      </c>
    </row>
    <row r="245" spans="2:11" x14ac:dyDescent="0.25">
      <c r="B245" s="218" t="s">
        <v>4538</v>
      </c>
      <c r="C245" s="214" t="s">
        <v>7465</v>
      </c>
      <c r="D245" s="214" t="s">
        <v>7828</v>
      </c>
      <c r="E245" s="216">
        <f t="shared" si="3"/>
        <v>4356</v>
      </c>
      <c r="F245" s="215">
        <v>4356</v>
      </c>
      <c r="G245" s="215"/>
      <c r="H245" s="213"/>
      <c r="I245" s="335" t="str">
        <f>IFERROR(VLOOKUP($B245,'IA NARUC Table'!$B:$G,4,FALSE),"")</f>
        <v>Operations Expense</v>
      </c>
      <c r="J245" s="336" t="str">
        <f>IFERROR(VLOOKUP($B245,'IA NARUC Table'!$B:$G,5,FALSE),"")</f>
        <v>Admin &amp; General</v>
      </c>
      <c r="K245" s="336" t="s">
        <v>7799</v>
      </c>
    </row>
    <row r="246" spans="2:11" x14ac:dyDescent="0.25">
      <c r="B246" s="218" t="s">
        <v>4525</v>
      </c>
      <c r="C246" s="214" t="s">
        <v>7465</v>
      </c>
      <c r="D246" s="214" t="s">
        <v>7829</v>
      </c>
      <c r="E246" s="216">
        <f t="shared" si="3"/>
        <v>-46632</v>
      </c>
      <c r="F246" s="215">
        <v>-46632</v>
      </c>
      <c r="G246" s="215"/>
      <c r="H246" s="213"/>
      <c r="I246" s="335" t="str">
        <f>IFERROR(VLOOKUP($B246,'IA NARUC Table'!$B:$G,4,FALSE),"")</f>
        <v>Operations Expense</v>
      </c>
      <c r="J246" s="336" t="str">
        <f>IFERROR(VLOOKUP($B246,'IA NARUC Table'!$B:$G,5,FALSE),"")</f>
        <v>Admin &amp; General</v>
      </c>
      <c r="K246" s="336" t="s">
        <v>7799</v>
      </c>
    </row>
    <row r="247" spans="2:11" x14ac:dyDescent="0.25">
      <c r="B247" s="218" t="s">
        <v>4523</v>
      </c>
      <c r="C247" s="214" t="s">
        <v>7465</v>
      </c>
      <c r="D247" s="214" t="s">
        <v>7830</v>
      </c>
      <c r="E247" s="216">
        <f t="shared" si="3"/>
        <v>-12</v>
      </c>
      <c r="F247" s="215">
        <v>-12</v>
      </c>
      <c r="G247" s="215"/>
      <c r="H247" s="213"/>
      <c r="I247" s="335" t="str">
        <f>IFERROR(VLOOKUP($B247,'IA NARUC Table'!$B:$G,4,FALSE),"")</f>
        <v>Operations Expense</v>
      </c>
      <c r="J247" s="336" t="str">
        <f>IFERROR(VLOOKUP($B247,'IA NARUC Table'!$B:$G,5,FALSE),"")</f>
        <v>Admin &amp; General</v>
      </c>
      <c r="K247" s="336" t="s">
        <v>7799</v>
      </c>
    </row>
    <row r="248" spans="2:11" x14ac:dyDescent="0.25">
      <c r="B248" s="218" t="s">
        <v>4450</v>
      </c>
      <c r="C248" s="214" t="s">
        <v>7497</v>
      </c>
      <c r="D248" s="214" t="s">
        <v>7831</v>
      </c>
      <c r="E248" s="216">
        <f t="shared" si="3"/>
        <v>226441</v>
      </c>
      <c r="F248" s="215">
        <v>226441</v>
      </c>
      <c r="G248" s="215"/>
      <c r="H248" s="213"/>
      <c r="I248" s="335" t="str">
        <f>IFERROR(VLOOKUP($B248,'IA NARUC Table'!$B:$G,4,FALSE),"")</f>
        <v>Operations Expense</v>
      </c>
      <c r="J248" s="336" t="str">
        <f>IFERROR(VLOOKUP($B248,'IA NARUC Table'!$B:$G,5,FALSE),"")</f>
        <v>Admin &amp; General</v>
      </c>
      <c r="K248" s="336" t="s">
        <v>7145</v>
      </c>
    </row>
    <row r="249" spans="2:11" x14ac:dyDescent="0.25">
      <c r="B249" s="218" t="s">
        <v>4447</v>
      </c>
      <c r="C249" s="214" t="s">
        <v>7503</v>
      </c>
      <c r="D249" s="214" t="s">
        <v>7832</v>
      </c>
      <c r="E249" s="216">
        <f t="shared" si="3"/>
        <v>2640</v>
      </c>
      <c r="F249" s="215">
        <v>2640</v>
      </c>
      <c r="G249" s="215"/>
      <c r="H249" s="26"/>
      <c r="I249" s="335" t="str">
        <f>IFERROR(VLOOKUP($B249,'IA NARUC Table'!$B:$G,4,FALSE),"")</f>
        <v>Operations Expense</v>
      </c>
      <c r="J249" s="336" t="str">
        <f>IFERROR(VLOOKUP($B249,'IA NARUC Table'!$B:$G,5,FALSE),"")</f>
        <v>Source of Supply</v>
      </c>
      <c r="K249" s="336" t="s">
        <v>7145</v>
      </c>
    </row>
    <row r="250" spans="2:11" x14ac:dyDescent="0.25">
      <c r="B250" s="218" t="s">
        <v>4446</v>
      </c>
      <c r="C250" s="214" t="s">
        <v>7503</v>
      </c>
      <c r="D250" s="214" t="s">
        <v>7833</v>
      </c>
      <c r="E250" s="216">
        <f t="shared" si="3"/>
        <v>84</v>
      </c>
      <c r="F250" s="215">
        <v>84</v>
      </c>
      <c r="G250" s="215"/>
      <c r="H250" s="213"/>
      <c r="I250" s="335" t="str">
        <f>IFERROR(VLOOKUP($B250,'IA NARUC Table'!$B:$G,4,FALSE),"")</f>
        <v>Operations Expense</v>
      </c>
      <c r="J250" s="336" t="str">
        <f>IFERROR(VLOOKUP($B250,'IA NARUC Table'!$B:$G,5,FALSE),"")</f>
        <v>Pumping</v>
      </c>
      <c r="K250" s="336" t="s">
        <v>7145</v>
      </c>
    </row>
    <row r="251" spans="2:11" x14ac:dyDescent="0.25">
      <c r="B251" s="218" t="s">
        <v>4444</v>
      </c>
      <c r="C251" s="214" t="s">
        <v>7505</v>
      </c>
      <c r="D251" s="214" t="s">
        <v>7834</v>
      </c>
      <c r="E251" s="216">
        <f t="shared" si="3"/>
        <v>0</v>
      </c>
      <c r="F251" s="215">
        <v>0</v>
      </c>
      <c r="G251" s="215"/>
      <c r="H251" s="26"/>
      <c r="I251" s="335" t="str">
        <f>IFERROR(VLOOKUP($B251,'IA NARUC Table'!$B:$G,4,FALSE),"")</f>
        <v>Operations Expense</v>
      </c>
      <c r="J251" s="336" t="str">
        <f>IFERROR(VLOOKUP($B251,'IA NARUC Table'!$B:$G,5,FALSE),"")</f>
        <v>General T/D</v>
      </c>
      <c r="K251" s="336" t="s">
        <v>7145</v>
      </c>
    </row>
    <row r="252" spans="2:11" x14ac:dyDescent="0.25">
      <c r="B252" s="218" t="s">
        <v>4442</v>
      </c>
      <c r="C252" s="214" t="s">
        <v>7502</v>
      </c>
      <c r="D252" s="214" t="s">
        <v>7835</v>
      </c>
      <c r="E252" s="216">
        <f t="shared" si="3"/>
        <v>0</v>
      </c>
      <c r="F252" s="215">
        <v>0</v>
      </c>
      <c r="G252" s="215"/>
      <c r="H252" s="213"/>
      <c r="I252" s="335" t="str">
        <f>IFERROR(VLOOKUP($B252,'IA NARUC Table'!$B:$G,4,FALSE),"")</f>
        <v>Operations Expense</v>
      </c>
      <c r="J252" s="336" t="str">
        <f>IFERROR(VLOOKUP($B252,'IA NARUC Table'!$B:$G,5,FALSE),"")</f>
        <v>Admin &amp; General</v>
      </c>
      <c r="K252" s="336" t="s">
        <v>7145</v>
      </c>
    </row>
    <row r="253" spans="2:11" x14ac:dyDescent="0.25">
      <c r="B253" s="218" t="s">
        <v>4440</v>
      </c>
      <c r="C253" s="214" t="s">
        <v>7507</v>
      </c>
      <c r="D253" s="214" t="s">
        <v>7837</v>
      </c>
      <c r="E253" s="216">
        <f t="shared" si="3"/>
        <v>0</v>
      </c>
      <c r="F253" s="215">
        <v>0</v>
      </c>
      <c r="G253" s="215"/>
      <c r="H253" s="213"/>
      <c r="I253" s="335" t="str">
        <f>IFERROR(VLOOKUP($B253,'IA NARUC Table'!$B:$G,4,FALSE),"")</f>
        <v>Operations Expense</v>
      </c>
      <c r="J253" s="336" t="str">
        <f>IFERROR(VLOOKUP($B253,'IA NARUC Table'!$B:$G,5,FALSE),"")</f>
        <v>Admin &amp; General</v>
      </c>
      <c r="K253" s="336" t="s">
        <v>7836</v>
      </c>
    </row>
    <row r="254" spans="2:11" x14ac:dyDescent="0.25">
      <c r="B254" s="218" t="s">
        <v>4437</v>
      </c>
      <c r="C254" s="214" t="s">
        <v>7509</v>
      </c>
      <c r="D254" s="214" t="s">
        <v>7838</v>
      </c>
      <c r="E254" s="216">
        <f t="shared" si="3"/>
        <v>0</v>
      </c>
      <c r="F254" s="215">
        <v>0</v>
      </c>
      <c r="G254" s="215"/>
      <c r="H254" s="213"/>
      <c r="I254" s="335" t="str">
        <f>IFERROR(VLOOKUP($B254,'IA NARUC Table'!$B:$G,4,FALSE),"")</f>
        <v>Operations Expense</v>
      </c>
      <c r="J254" s="336" t="str">
        <f>IFERROR(VLOOKUP($B254,'IA NARUC Table'!$B:$G,5,FALSE),"")</f>
        <v>Water Treatment</v>
      </c>
      <c r="K254" s="336" t="s">
        <v>7836</v>
      </c>
    </row>
    <row r="255" spans="2:11" x14ac:dyDescent="0.25">
      <c r="B255" s="218" t="s">
        <v>4434</v>
      </c>
      <c r="C255" s="214" t="s">
        <v>7507</v>
      </c>
      <c r="D255" s="214" t="s">
        <v>7839</v>
      </c>
      <c r="E255" s="216">
        <f t="shared" si="3"/>
        <v>3216</v>
      </c>
      <c r="F255" s="215">
        <v>3216</v>
      </c>
      <c r="G255" s="215"/>
      <c r="H255" s="213"/>
      <c r="I255" s="335" t="str">
        <f>IFERROR(VLOOKUP($B255,'IA NARUC Table'!$B:$G,4,FALSE),"")</f>
        <v>Operations Expense</v>
      </c>
      <c r="J255" s="336" t="str">
        <f>IFERROR(VLOOKUP($B255,'IA NARUC Table'!$B:$G,5,FALSE),"")</f>
        <v>Admin &amp; General</v>
      </c>
      <c r="K255" s="336" t="s">
        <v>7836</v>
      </c>
    </row>
    <row r="256" spans="2:11" x14ac:dyDescent="0.25">
      <c r="B256" s="218" t="s">
        <v>4430</v>
      </c>
      <c r="C256" s="214" t="s">
        <v>7514</v>
      </c>
      <c r="D256" s="214" t="s">
        <v>7840</v>
      </c>
      <c r="E256" s="216">
        <f t="shared" si="3"/>
        <v>0</v>
      </c>
      <c r="F256" s="215">
        <v>0</v>
      </c>
      <c r="G256" s="215"/>
      <c r="H256" s="26"/>
      <c r="I256" s="335" t="str">
        <f>IFERROR(VLOOKUP($B256,'IA NARUC Table'!$B:$G,4,FALSE),"")</f>
        <v>Operations Expense</v>
      </c>
      <c r="J256" s="336" t="str">
        <f>IFERROR(VLOOKUP($B256,'IA NARUC Table'!$B:$G,5,FALSE),"")</f>
        <v>General T/D</v>
      </c>
      <c r="K256" s="336" t="s">
        <v>7836</v>
      </c>
    </row>
    <row r="257" spans="2:11" x14ac:dyDescent="0.25">
      <c r="B257" s="218" t="s">
        <v>4428</v>
      </c>
      <c r="C257" s="214" t="s">
        <v>7507</v>
      </c>
      <c r="D257" s="214" t="s">
        <v>7841</v>
      </c>
      <c r="E257" s="216">
        <f t="shared" si="3"/>
        <v>-100080</v>
      </c>
      <c r="F257" s="215">
        <v>-100080</v>
      </c>
      <c r="G257" s="215"/>
      <c r="H257" s="213"/>
      <c r="I257" s="335" t="str">
        <f>IFERROR(VLOOKUP($B257,'IA NARUC Table'!$B:$G,4,FALSE),"")</f>
        <v>Operations Expense</v>
      </c>
      <c r="J257" s="336" t="str">
        <f>IFERROR(VLOOKUP($B257,'IA NARUC Table'!$B:$G,5,FALSE),"")</f>
        <v>Admin &amp; General</v>
      </c>
      <c r="K257" s="336" t="s">
        <v>7836</v>
      </c>
    </row>
    <row r="258" spans="2:11" x14ac:dyDescent="0.25">
      <c r="B258" s="218" t="s">
        <v>4427</v>
      </c>
      <c r="C258" s="214" t="s">
        <v>7507</v>
      </c>
      <c r="D258" s="214" t="s">
        <v>7842</v>
      </c>
      <c r="E258" s="216">
        <f t="shared" si="3"/>
        <v>960</v>
      </c>
      <c r="F258" s="215">
        <v>960</v>
      </c>
      <c r="G258" s="215"/>
      <c r="H258" s="213"/>
      <c r="I258" s="335" t="str">
        <f>IFERROR(VLOOKUP($B258,'IA NARUC Table'!$B:$G,4,FALSE),"")</f>
        <v>Operations Expense</v>
      </c>
      <c r="J258" s="336" t="str">
        <f>IFERROR(VLOOKUP($B258,'IA NARUC Table'!$B:$G,5,FALSE),"")</f>
        <v>Admin &amp; General</v>
      </c>
      <c r="K258" s="336" t="s">
        <v>7836</v>
      </c>
    </row>
    <row r="259" spans="2:11" x14ac:dyDescent="0.25">
      <c r="B259" s="218" t="s">
        <v>4426</v>
      </c>
      <c r="C259" s="214" t="s">
        <v>7507</v>
      </c>
      <c r="D259" s="214" t="s">
        <v>7843</v>
      </c>
      <c r="E259" s="216">
        <f t="shared" si="3"/>
        <v>122964</v>
      </c>
      <c r="F259" s="215">
        <v>122964</v>
      </c>
      <c r="G259" s="215"/>
      <c r="H259" s="213"/>
      <c r="I259" s="335" t="str">
        <f>IFERROR(VLOOKUP($B259,'IA NARUC Table'!$B:$G,4,FALSE),"")</f>
        <v>Operations Expense</v>
      </c>
      <c r="J259" s="336" t="str">
        <f>IFERROR(VLOOKUP($B259,'IA NARUC Table'!$B:$G,5,FALSE),"")</f>
        <v>Admin &amp; General</v>
      </c>
      <c r="K259" s="336" t="s">
        <v>7836</v>
      </c>
    </row>
    <row r="260" spans="2:11" x14ac:dyDescent="0.25">
      <c r="B260" s="218" t="s">
        <v>4425</v>
      </c>
      <c r="C260" s="214" t="s">
        <v>7507</v>
      </c>
      <c r="D260" s="214" t="s">
        <v>7844</v>
      </c>
      <c r="E260" s="216">
        <f t="shared" si="3"/>
        <v>173460</v>
      </c>
      <c r="F260" s="215">
        <v>173460</v>
      </c>
      <c r="G260" s="215"/>
      <c r="H260" s="213"/>
      <c r="I260" s="335" t="str">
        <f>IFERROR(VLOOKUP($B260,'IA NARUC Table'!$B:$G,4,FALSE),"")</f>
        <v>Operations Expense</v>
      </c>
      <c r="J260" s="336" t="str">
        <f>IFERROR(VLOOKUP($B260,'IA NARUC Table'!$B:$G,5,FALSE),"")</f>
        <v>Admin &amp; General</v>
      </c>
      <c r="K260" s="336" t="s">
        <v>7836</v>
      </c>
    </row>
    <row r="261" spans="2:11" x14ac:dyDescent="0.25">
      <c r="B261" s="218" t="s">
        <v>4423</v>
      </c>
      <c r="C261" s="214" t="s">
        <v>7507</v>
      </c>
      <c r="D261" s="214" t="s">
        <v>7845</v>
      </c>
      <c r="E261" s="216">
        <f t="shared" si="3"/>
        <v>4464</v>
      </c>
      <c r="F261" s="215">
        <v>4464</v>
      </c>
      <c r="G261" s="215"/>
      <c r="H261" s="213"/>
      <c r="I261" s="335" t="str">
        <f>IFERROR(VLOOKUP($B261,'IA NARUC Table'!$B:$G,4,FALSE),"")</f>
        <v>Operations Expense</v>
      </c>
      <c r="J261" s="336" t="str">
        <f>IFERROR(VLOOKUP($B261,'IA NARUC Table'!$B:$G,5,FALSE),"")</f>
        <v>Admin &amp; General</v>
      </c>
      <c r="K261" s="336" t="s">
        <v>7836</v>
      </c>
    </row>
    <row r="262" spans="2:11" x14ac:dyDescent="0.25">
      <c r="B262" s="218" t="s">
        <v>4386</v>
      </c>
      <c r="C262" s="214" t="s">
        <v>7521</v>
      </c>
      <c r="D262" s="214" t="s">
        <v>7847</v>
      </c>
      <c r="E262" s="216">
        <f t="shared" si="3"/>
        <v>444034</v>
      </c>
      <c r="F262" s="215">
        <v>444034</v>
      </c>
      <c r="G262" s="215"/>
      <c r="H262" s="213"/>
      <c r="I262" s="335" t="str">
        <f>IFERROR(VLOOKUP($B262,'IA NARUC Table'!$B:$G,4,FALSE),"")</f>
        <v>Operations Expense</v>
      </c>
      <c r="J262" s="336" t="str">
        <f>IFERROR(VLOOKUP($B262,'IA NARUC Table'!$B:$G,5,FALSE),"")</f>
        <v>Customer Accounting</v>
      </c>
      <c r="K262" s="336" t="s">
        <v>7846</v>
      </c>
    </row>
    <row r="263" spans="2:11" x14ac:dyDescent="0.25">
      <c r="B263" s="218" t="s">
        <v>4385</v>
      </c>
      <c r="C263" s="214" t="s">
        <v>7521</v>
      </c>
      <c r="D263" s="214" t="s">
        <v>7848</v>
      </c>
      <c r="E263" s="216">
        <f t="shared" ref="E263:E326" si="4">SUM(F263:G263)</f>
        <v>2422</v>
      </c>
      <c r="F263" s="215">
        <v>2422</v>
      </c>
      <c r="G263" s="215"/>
      <c r="H263" s="213"/>
      <c r="I263" s="335" t="str">
        <f>IFERROR(VLOOKUP($B263,'IA NARUC Table'!$B:$G,4,FALSE),"")</f>
        <v>Operations Expense</v>
      </c>
      <c r="J263" s="336" t="str">
        <f>IFERROR(VLOOKUP($B263,'IA NARUC Table'!$B:$G,5,FALSE),"")</f>
        <v>Admin &amp; General</v>
      </c>
      <c r="K263" s="336" t="s">
        <v>7846</v>
      </c>
    </row>
    <row r="264" spans="2:11" x14ac:dyDescent="0.25">
      <c r="B264" s="218" t="s">
        <v>4668</v>
      </c>
      <c r="C264" s="214" t="s">
        <v>7481</v>
      </c>
      <c r="D264" s="214" t="s">
        <v>7850</v>
      </c>
      <c r="E264" s="216">
        <f t="shared" si="4"/>
        <v>3897</v>
      </c>
      <c r="F264" s="215">
        <v>3897</v>
      </c>
      <c r="G264" s="215"/>
      <c r="H264" s="213"/>
      <c r="I264" s="335" t="str">
        <f>IFERROR(VLOOKUP($B264,'IA NARUC Table'!$B:$G,4,FALSE),"")</f>
        <v>Operations Expense</v>
      </c>
      <c r="J264" s="336" t="str">
        <f>IFERROR(VLOOKUP($B264,'IA NARUC Table'!$B:$G,5,FALSE),"")</f>
        <v>Customer Accounting</v>
      </c>
      <c r="K264" s="336" t="s">
        <v>7849</v>
      </c>
    </row>
    <row r="265" spans="2:11" x14ac:dyDescent="0.25">
      <c r="B265" s="218" t="s">
        <v>4666</v>
      </c>
      <c r="C265" s="214" t="s">
        <v>7481</v>
      </c>
      <c r="D265" s="214" t="s">
        <v>7851</v>
      </c>
      <c r="E265" s="216">
        <f t="shared" si="4"/>
        <v>1632</v>
      </c>
      <c r="F265" s="215">
        <v>1632</v>
      </c>
      <c r="G265" s="215"/>
      <c r="H265" s="213"/>
      <c r="I265" s="335" t="str">
        <f>IFERROR(VLOOKUP($B265,'IA NARUC Table'!$B:$G,4,FALSE),"")</f>
        <v>Operations Expense</v>
      </c>
      <c r="J265" s="336" t="str">
        <f>IFERROR(VLOOKUP($B265,'IA NARUC Table'!$B:$G,5,FALSE),"")</f>
        <v>Customer Accounting</v>
      </c>
      <c r="K265" s="336" t="s">
        <v>7849</v>
      </c>
    </row>
    <row r="266" spans="2:11" x14ac:dyDescent="0.25">
      <c r="B266" s="218" t="s">
        <v>4661</v>
      </c>
      <c r="C266" s="214" t="s">
        <v>7481</v>
      </c>
      <c r="D266" s="214" t="s">
        <v>7852</v>
      </c>
      <c r="E266" s="216">
        <f t="shared" si="4"/>
        <v>71629</v>
      </c>
      <c r="F266" s="215">
        <v>71629</v>
      </c>
      <c r="G266" s="215"/>
      <c r="H266" s="213"/>
      <c r="I266" s="335" t="str">
        <f>IFERROR(VLOOKUP($B266,'IA NARUC Table'!$B:$G,4,FALSE),"")</f>
        <v>Operations Expense</v>
      </c>
      <c r="J266" s="336" t="str">
        <f>IFERROR(VLOOKUP($B266,'IA NARUC Table'!$B:$G,5,FALSE),"")</f>
        <v>Customer Accounting</v>
      </c>
      <c r="K266" s="336" t="s">
        <v>7849</v>
      </c>
    </row>
    <row r="267" spans="2:11" x14ac:dyDescent="0.25">
      <c r="B267" s="218" t="s">
        <v>4638</v>
      </c>
      <c r="C267" s="214" t="s">
        <v>7481</v>
      </c>
      <c r="D267" s="214" t="s">
        <v>7853</v>
      </c>
      <c r="E267" s="216">
        <f t="shared" si="4"/>
        <v>0</v>
      </c>
      <c r="F267" s="215">
        <v>0</v>
      </c>
      <c r="G267" s="215"/>
      <c r="H267" s="213"/>
      <c r="I267" s="335" t="str">
        <f>IFERROR(VLOOKUP($B267,'IA NARUC Table'!$B:$G,4,FALSE),"")</f>
        <v>Operations Expense</v>
      </c>
      <c r="J267" s="336" t="str">
        <f>IFERROR(VLOOKUP($B267,'IA NARUC Table'!$B:$G,5,FALSE),"")</f>
        <v>Customer Accounting</v>
      </c>
      <c r="K267" s="336" t="s">
        <v>7849</v>
      </c>
    </row>
    <row r="268" spans="2:11" x14ac:dyDescent="0.25">
      <c r="B268" s="218" t="s">
        <v>4615</v>
      </c>
      <c r="C268" s="214" t="s">
        <v>7481</v>
      </c>
      <c r="D268" s="214" t="s">
        <v>7854</v>
      </c>
      <c r="E268" s="216">
        <f t="shared" si="4"/>
        <v>3122</v>
      </c>
      <c r="F268" s="215">
        <v>3122</v>
      </c>
      <c r="G268" s="215"/>
      <c r="H268" s="213"/>
      <c r="I268" s="335" t="str">
        <f>IFERROR(VLOOKUP($B268,'IA NARUC Table'!$B:$G,4,FALSE),"")</f>
        <v>Operations Expense</v>
      </c>
      <c r="J268" s="336" t="str">
        <f>IFERROR(VLOOKUP($B268,'IA NARUC Table'!$B:$G,5,FALSE),"")</f>
        <v>Customer Accounting</v>
      </c>
      <c r="K268" s="336" t="s">
        <v>7849</v>
      </c>
    </row>
    <row r="269" spans="2:11" x14ac:dyDescent="0.25">
      <c r="B269" s="218" t="s">
        <v>4580</v>
      </c>
      <c r="C269" s="214" t="s">
        <v>7481</v>
      </c>
      <c r="D269" s="214" t="s">
        <v>7855</v>
      </c>
      <c r="E269" s="216">
        <f t="shared" si="4"/>
        <v>49</v>
      </c>
      <c r="F269" s="215">
        <v>49</v>
      </c>
      <c r="G269" s="215"/>
      <c r="H269" s="213"/>
      <c r="I269" s="335" t="str">
        <f>IFERROR(VLOOKUP($B269,'IA NARUC Table'!$B:$G,4,FALSE),"")</f>
        <v>Operations Expense</v>
      </c>
      <c r="J269" s="336" t="str">
        <f>IFERROR(VLOOKUP($B269,'IA NARUC Table'!$B:$G,5,FALSE),"")</f>
        <v>Customer Accounting</v>
      </c>
      <c r="K269" s="336" t="s">
        <v>7849</v>
      </c>
    </row>
    <row r="270" spans="2:11" x14ac:dyDescent="0.25">
      <c r="B270" s="218" t="s">
        <v>4576</v>
      </c>
      <c r="C270" s="214" t="s">
        <v>7481</v>
      </c>
      <c r="D270" s="214" t="s">
        <v>7856</v>
      </c>
      <c r="E270" s="216">
        <f t="shared" si="4"/>
        <v>0</v>
      </c>
      <c r="F270" s="215">
        <v>0</v>
      </c>
      <c r="G270" s="215"/>
      <c r="H270" s="213"/>
      <c r="I270" s="335" t="str">
        <f>IFERROR(VLOOKUP($B270,'IA NARUC Table'!$B:$G,4,FALSE),"")</f>
        <v>Operations Expense</v>
      </c>
      <c r="J270" s="336" t="str">
        <f>IFERROR(VLOOKUP($B270,'IA NARUC Table'!$B:$G,5,FALSE),"")</f>
        <v>Customer Accounting</v>
      </c>
      <c r="K270" s="336" t="s">
        <v>7849</v>
      </c>
    </row>
    <row r="271" spans="2:11" x14ac:dyDescent="0.25">
      <c r="B271" s="218" t="s">
        <v>4392</v>
      </c>
      <c r="C271" s="214" t="s">
        <v>7519</v>
      </c>
      <c r="D271" s="214" t="s">
        <v>7858</v>
      </c>
      <c r="E271" s="216">
        <f t="shared" si="4"/>
        <v>0</v>
      </c>
      <c r="F271" s="215">
        <v>0</v>
      </c>
      <c r="G271" s="215"/>
      <c r="H271" s="213"/>
      <c r="I271" s="335" t="str">
        <f>IFERROR(VLOOKUP($B271,'IA NARUC Table'!$B:$G,4,FALSE),"")</f>
        <v>Operations Expense</v>
      </c>
      <c r="J271" s="336" t="str">
        <f>IFERROR(VLOOKUP($B271,'IA NARUC Table'!$B:$G,5,FALSE),"")</f>
        <v>Admin &amp; General</v>
      </c>
      <c r="K271" s="336" t="s">
        <v>7857</v>
      </c>
    </row>
    <row r="272" spans="2:11" x14ac:dyDescent="0.25">
      <c r="B272" s="218" t="s">
        <v>4388</v>
      </c>
      <c r="C272" s="214" t="s">
        <v>7520</v>
      </c>
      <c r="D272" s="214" t="s">
        <v>7859</v>
      </c>
      <c r="E272" s="216">
        <f t="shared" si="4"/>
        <v>0</v>
      </c>
      <c r="F272" s="215">
        <v>0</v>
      </c>
      <c r="G272" s="215"/>
      <c r="H272" s="213"/>
      <c r="I272" s="335" t="str">
        <f>IFERROR(VLOOKUP($B272,'IA NARUC Table'!$B:$G,4,FALSE),"")</f>
        <v>Operations Expense</v>
      </c>
      <c r="J272" s="336" t="str">
        <f>IFERROR(VLOOKUP($B272,'IA NARUC Table'!$B:$G,5,FALSE),"")</f>
        <v>Admin &amp; General</v>
      </c>
      <c r="K272" s="336" t="s">
        <v>7857</v>
      </c>
    </row>
    <row r="273" spans="2:11" x14ac:dyDescent="0.25">
      <c r="B273" s="218" t="s">
        <v>4421</v>
      </c>
      <c r="C273" s="214" t="s">
        <v>7515</v>
      </c>
      <c r="D273" s="214" t="s">
        <v>7861</v>
      </c>
      <c r="E273" s="216">
        <f t="shared" si="4"/>
        <v>8814</v>
      </c>
      <c r="F273" s="215">
        <v>8814</v>
      </c>
      <c r="G273" s="215"/>
      <c r="H273" s="213"/>
      <c r="I273" s="335" t="str">
        <f>IFERROR(VLOOKUP($B273,'IA NARUC Table'!$B:$G,4,FALSE),"")</f>
        <v>Operations Expense</v>
      </c>
      <c r="J273" s="336" t="str">
        <f>IFERROR(VLOOKUP($B273,'IA NARUC Table'!$B:$G,5,FALSE),"")</f>
        <v>Admin &amp; General</v>
      </c>
      <c r="K273" s="336" t="s">
        <v>7860</v>
      </c>
    </row>
    <row r="274" spans="2:11" x14ac:dyDescent="0.25">
      <c r="B274" s="218" t="s">
        <v>4418</v>
      </c>
      <c r="C274" s="214" t="s">
        <v>7516</v>
      </c>
      <c r="D274" s="214" t="s">
        <v>7862</v>
      </c>
      <c r="E274" s="216">
        <f t="shared" si="4"/>
        <v>260585</v>
      </c>
      <c r="F274" s="215">
        <v>260585</v>
      </c>
      <c r="G274" s="215"/>
      <c r="H274" s="213"/>
      <c r="I274" s="335" t="str">
        <f>IFERROR(VLOOKUP($B274,'IA NARUC Table'!$B:$G,4,FALSE),"")</f>
        <v>Operations Expense</v>
      </c>
      <c r="J274" s="336" t="str">
        <f>IFERROR(VLOOKUP($B274,'IA NARUC Table'!$B:$G,5,FALSE),"")</f>
        <v>Admin &amp; General</v>
      </c>
      <c r="K274" s="336" t="s">
        <v>7860</v>
      </c>
    </row>
    <row r="275" spans="2:11" x14ac:dyDescent="0.25">
      <c r="B275" s="218" t="s">
        <v>4417</v>
      </c>
      <c r="C275" s="214" t="s">
        <v>7516</v>
      </c>
      <c r="D275" s="214" t="s">
        <v>7863</v>
      </c>
      <c r="E275" s="216">
        <f t="shared" si="4"/>
        <v>20572</v>
      </c>
      <c r="F275" s="215">
        <v>20572</v>
      </c>
      <c r="G275" s="215"/>
      <c r="H275" s="213"/>
      <c r="I275" s="335" t="str">
        <f>IFERROR(VLOOKUP($B275,'IA NARUC Table'!$B:$G,4,FALSE),"")</f>
        <v>Operations Expense</v>
      </c>
      <c r="J275" s="336" t="str">
        <f>IFERROR(VLOOKUP($B275,'IA NARUC Table'!$B:$G,5,FALSE),"")</f>
        <v>Admin &amp; General</v>
      </c>
      <c r="K275" s="336" t="s">
        <v>7860</v>
      </c>
    </row>
    <row r="276" spans="2:11" x14ac:dyDescent="0.25">
      <c r="B276" s="218" t="s">
        <v>4413</v>
      </c>
      <c r="C276" s="214" t="s">
        <v>7517</v>
      </c>
      <c r="D276" s="214" t="s">
        <v>7864</v>
      </c>
      <c r="E276" s="216">
        <f t="shared" si="4"/>
        <v>64654</v>
      </c>
      <c r="F276" s="215">
        <v>64654</v>
      </c>
      <c r="G276" s="215"/>
      <c r="H276" s="213"/>
      <c r="I276" s="335" t="str">
        <f>IFERROR(VLOOKUP($B276,'IA NARUC Table'!$B:$G,4,FALSE),"")</f>
        <v>Operations Expense</v>
      </c>
      <c r="J276" s="336" t="str">
        <f>IFERROR(VLOOKUP($B276,'IA NARUC Table'!$B:$G,5,FALSE),"")</f>
        <v>Admin &amp; General</v>
      </c>
      <c r="K276" s="336" t="s">
        <v>7860</v>
      </c>
    </row>
    <row r="277" spans="2:11" x14ac:dyDescent="0.25">
      <c r="B277" s="218" t="s">
        <v>4412</v>
      </c>
      <c r="C277" s="214" t="s">
        <v>7517</v>
      </c>
      <c r="D277" s="214" t="s">
        <v>7865</v>
      </c>
      <c r="E277" s="216">
        <f t="shared" si="4"/>
        <v>-17937</v>
      </c>
      <c r="F277" s="215">
        <v>-17937</v>
      </c>
      <c r="G277" s="215"/>
      <c r="H277" s="213"/>
      <c r="I277" s="335" t="str">
        <f>IFERROR(VLOOKUP($B277,'IA NARUC Table'!$B:$G,4,FALSE),"")</f>
        <v>Operations Expense</v>
      </c>
      <c r="J277" s="336" t="str">
        <f>IFERROR(VLOOKUP($B277,'IA NARUC Table'!$B:$G,5,FALSE),"")</f>
        <v>Admin &amp; General</v>
      </c>
      <c r="K277" s="336" t="s">
        <v>7860</v>
      </c>
    </row>
    <row r="278" spans="2:11" x14ac:dyDescent="0.25">
      <c r="B278" s="218" t="s">
        <v>4409</v>
      </c>
      <c r="C278" s="214" t="s">
        <v>7518</v>
      </c>
      <c r="D278" s="214" t="s">
        <v>7866</v>
      </c>
      <c r="E278" s="216">
        <f t="shared" si="4"/>
        <v>23651</v>
      </c>
      <c r="F278" s="215">
        <v>23651</v>
      </c>
      <c r="G278" s="215"/>
      <c r="H278" s="213"/>
      <c r="I278" s="335" t="str">
        <f>IFERROR(VLOOKUP($B278,'IA NARUC Table'!$B:$G,4,FALSE),"")</f>
        <v>Operations Expense</v>
      </c>
      <c r="J278" s="336" t="str">
        <f>IFERROR(VLOOKUP($B278,'IA NARUC Table'!$B:$G,5,FALSE),"")</f>
        <v>Admin &amp; General</v>
      </c>
      <c r="K278" s="336" t="s">
        <v>7860</v>
      </c>
    </row>
    <row r="279" spans="2:11" x14ac:dyDescent="0.25">
      <c r="B279" s="218" t="s">
        <v>4406</v>
      </c>
      <c r="C279" s="214" t="s">
        <v>7518</v>
      </c>
      <c r="D279" s="214" t="s">
        <v>7867</v>
      </c>
      <c r="E279" s="216">
        <f t="shared" si="4"/>
        <v>136578</v>
      </c>
      <c r="F279" s="215">
        <v>136578</v>
      </c>
      <c r="G279" s="215"/>
      <c r="H279" s="213"/>
      <c r="I279" s="335" t="str">
        <f>IFERROR(VLOOKUP($B279,'IA NARUC Table'!$B:$G,4,FALSE),"")</f>
        <v>Operations Expense</v>
      </c>
      <c r="J279" s="336" t="str">
        <f>IFERROR(VLOOKUP($B279,'IA NARUC Table'!$B:$G,5,FALSE),"")</f>
        <v>Admin &amp; General</v>
      </c>
      <c r="K279" s="336" t="s">
        <v>7860</v>
      </c>
    </row>
    <row r="280" spans="2:11" x14ac:dyDescent="0.25">
      <c r="B280" s="218" t="s">
        <v>4372</v>
      </c>
      <c r="C280" s="214" t="s">
        <v>7523</v>
      </c>
      <c r="D280" s="214" t="s">
        <v>7869</v>
      </c>
      <c r="E280" s="216">
        <f t="shared" si="4"/>
        <v>6816</v>
      </c>
      <c r="F280" s="215">
        <v>6816</v>
      </c>
      <c r="G280" s="215"/>
      <c r="H280" s="213"/>
      <c r="I280" s="335" t="str">
        <f>IFERROR(VLOOKUP($B280,'IA NARUC Table'!$B:$G,4,FALSE),"")</f>
        <v>Maintenance Expense</v>
      </c>
      <c r="J280" s="336" t="str">
        <f>IFERROR(VLOOKUP($B280,'IA NARUC Table'!$B:$G,5,FALSE),"")</f>
        <v>Source of Supply</v>
      </c>
      <c r="K280" s="336" t="s">
        <v>7868</v>
      </c>
    </row>
    <row r="281" spans="2:11" x14ac:dyDescent="0.25">
      <c r="B281" s="218" t="s">
        <v>4371</v>
      </c>
      <c r="C281" s="214" t="s">
        <v>7523</v>
      </c>
      <c r="D281" s="214" t="s">
        <v>7870</v>
      </c>
      <c r="E281" s="216">
        <f t="shared" si="4"/>
        <v>0</v>
      </c>
      <c r="F281" s="215">
        <v>0</v>
      </c>
      <c r="G281" s="215"/>
      <c r="H281" s="213"/>
      <c r="I281" s="335" t="str">
        <f>IFERROR(VLOOKUP($B281,'IA NARUC Table'!$B:$G,4,FALSE),"")</f>
        <v>Maintenance Expense</v>
      </c>
      <c r="J281" s="336" t="str">
        <f>IFERROR(VLOOKUP($B281,'IA NARUC Table'!$B:$G,5,FALSE),"")</f>
        <v>Pumping</v>
      </c>
      <c r="K281" s="336" t="s">
        <v>7868</v>
      </c>
    </row>
    <row r="282" spans="2:11" x14ac:dyDescent="0.25">
      <c r="B282" s="218" t="s">
        <v>4370</v>
      </c>
      <c r="C282" s="214" t="s">
        <v>7524</v>
      </c>
      <c r="D282" s="214" t="s">
        <v>7871</v>
      </c>
      <c r="E282" s="216">
        <f t="shared" si="4"/>
        <v>480</v>
      </c>
      <c r="F282" s="215">
        <v>480</v>
      </c>
      <c r="G282" s="215"/>
      <c r="H282" s="213"/>
      <c r="I282" s="335" t="str">
        <f>IFERROR(VLOOKUP($B282,'IA NARUC Table'!$B:$G,4,FALSE),"")</f>
        <v>Maintenance Expense</v>
      </c>
      <c r="J282" s="336" t="str">
        <f>IFERROR(VLOOKUP($B282,'IA NARUC Table'!$B:$G,5,FALSE),"")</f>
        <v>Water Treatment</v>
      </c>
      <c r="K282" s="336" t="s">
        <v>7868</v>
      </c>
    </row>
    <row r="283" spans="2:11" x14ac:dyDescent="0.25">
      <c r="B283" s="218" t="s">
        <v>4369</v>
      </c>
      <c r="C283" s="214" t="s">
        <v>7525</v>
      </c>
      <c r="D283" s="214" t="s">
        <v>7872</v>
      </c>
      <c r="E283" s="216">
        <f t="shared" si="4"/>
        <v>47856</v>
      </c>
      <c r="F283" s="215">
        <v>47856</v>
      </c>
      <c r="G283" s="215"/>
      <c r="H283" s="213"/>
      <c r="I283" s="335" t="str">
        <f>IFERROR(VLOOKUP($B283,'IA NARUC Table'!$B:$G,4,FALSE),"")</f>
        <v>Maintenance Expense</v>
      </c>
      <c r="J283" s="336" t="str">
        <f>IFERROR(VLOOKUP($B283,'IA NARUC Table'!$B:$G,5,FALSE),"")</f>
        <v>General T/D</v>
      </c>
      <c r="K283" s="336" t="s">
        <v>7868</v>
      </c>
    </row>
    <row r="284" spans="2:11" x14ac:dyDescent="0.25">
      <c r="B284" s="218" t="s">
        <v>4368</v>
      </c>
      <c r="C284" s="214" t="s">
        <v>7478</v>
      </c>
      <c r="D284" s="214" t="s">
        <v>7873</v>
      </c>
      <c r="E284" s="216">
        <f t="shared" si="4"/>
        <v>528</v>
      </c>
      <c r="F284" s="215">
        <v>528</v>
      </c>
      <c r="G284" s="215"/>
      <c r="H284" s="213"/>
      <c r="I284" s="335" t="str">
        <f>IFERROR(VLOOKUP($B284,'IA NARUC Table'!$B:$G,4,FALSE),"")</f>
        <v>Maintenance Expense</v>
      </c>
      <c r="J284" s="336" t="str">
        <f>IFERROR(VLOOKUP($B284,'IA NARUC Table'!$B:$G,5,FALSE),"")</f>
        <v>Admin &amp; General</v>
      </c>
      <c r="K284" s="336" t="s">
        <v>7868</v>
      </c>
    </row>
    <row r="285" spans="2:11" x14ac:dyDescent="0.25">
      <c r="B285" s="218" t="s">
        <v>4367</v>
      </c>
      <c r="C285" s="214" t="s">
        <v>7526</v>
      </c>
      <c r="D285" s="214" t="s">
        <v>7874</v>
      </c>
      <c r="E285" s="216">
        <f t="shared" si="4"/>
        <v>1944</v>
      </c>
      <c r="F285" s="215">
        <v>1944</v>
      </c>
      <c r="G285" s="215"/>
      <c r="H285" s="213"/>
      <c r="I285" s="335" t="str">
        <f>IFERROR(VLOOKUP($B285,'IA NARUC Table'!$B:$G,4,FALSE),"")</f>
        <v>Maintenance Expense</v>
      </c>
      <c r="J285" s="336" t="str">
        <f>IFERROR(VLOOKUP($B285,'IA NARUC Table'!$B:$G,5,FALSE),"")</f>
        <v>Source of Supply</v>
      </c>
      <c r="K285" s="336" t="s">
        <v>7868</v>
      </c>
    </row>
    <row r="286" spans="2:11" x14ac:dyDescent="0.25">
      <c r="B286" s="218" t="s">
        <v>4360</v>
      </c>
      <c r="C286" s="214" t="s">
        <v>7526</v>
      </c>
      <c r="D286" s="214" t="s">
        <v>7875</v>
      </c>
      <c r="E286" s="216">
        <f t="shared" si="4"/>
        <v>0</v>
      </c>
      <c r="F286" s="215">
        <v>0</v>
      </c>
      <c r="G286" s="215"/>
      <c r="H286" s="213"/>
      <c r="I286" s="335" t="str">
        <f>IFERROR(VLOOKUP($B286,'IA NARUC Table'!$B:$G,4,FALSE),"")</f>
        <v>Maintenance Expense</v>
      </c>
      <c r="J286" s="336" t="str">
        <f>IFERROR(VLOOKUP($B286,'IA NARUC Table'!$B:$G,5,FALSE),"")</f>
        <v>Pumping</v>
      </c>
      <c r="K286" s="336" t="s">
        <v>7868</v>
      </c>
    </row>
    <row r="287" spans="2:11" x14ac:dyDescent="0.25">
      <c r="B287" s="218" t="s">
        <v>4359</v>
      </c>
      <c r="C287" s="214" t="s">
        <v>7526</v>
      </c>
      <c r="D287" s="214" t="s">
        <v>7876</v>
      </c>
      <c r="E287" s="216">
        <f t="shared" si="4"/>
        <v>2412</v>
      </c>
      <c r="F287" s="215">
        <v>2412</v>
      </c>
      <c r="G287" s="215"/>
      <c r="H287" s="213"/>
      <c r="I287" s="335" t="str">
        <f>IFERROR(VLOOKUP($B287,'IA NARUC Table'!$B:$G,4,FALSE),"")</f>
        <v>Maintenance Expense</v>
      </c>
      <c r="J287" s="336" t="str">
        <f>IFERROR(VLOOKUP($B287,'IA NARUC Table'!$B:$G,5,FALSE),"")</f>
        <v>Pumping</v>
      </c>
      <c r="K287" s="336" t="s">
        <v>7868</v>
      </c>
    </row>
    <row r="288" spans="2:11" x14ac:dyDescent="0.25">
      <c r="B288" s="218" t="s">
        <v>4357</v>
      </c>
      <c r="C288" s="214" t="s">
        <v>7527</v>
      </c>
      <c r="D288" s="214" t="s">
        <v>7877</v>
      </c>
      <c r="E288" s="216">
        <f t="shared" si="4"/>
        <v>11928</v>
      </c>
      <c r="F288" s="215">
        <v>11928</v>
      </c>
      <c r="G288" s="215"/>
      <c r="H288" s="213"/>
      <c r="I288" s="335" t="str">
        <f>IFERROR(VLOOKUP($B288,'IA NARUC Table'!$B:$G,4,FALSE),"")</f>
        <v>Maintenance Expense</v>
      </c>
      <c r="J288" s="336" t="str">
        <f>IFERROR(VLOOKUP($B288,'IA NARUC Table'!$B:$G,5,FALSE),"")</f>
        <v>Water Treatment</v>
      </c>
      <c r="K288" s="336" t="s">
        <v>7868</v>
      </c>
    </row>
    <row r="289" spans="2:11" x14ac:dyDescent="0.25">
      <c r="B289" s="218" t="s">
        <v>4356</v>
      </c>
      <c r="C289" s="214" t="s">
        <v>7527</v>
      </c>
      <c r="D289" s="214" t="s">
        <v>7878</v>
      </c>
      <c r="E289" s="216">
        <f t="shared" si="4"/>
        <v>3648</v>
      </c>
      <c r="F289" s="215">
        <v>3648</v>
      </c>
      <c r="G289" s="215"/>
      <c r="H289" s="213"/>
      <c r="I289" s="335" t="str">
        <f>IFERROR(VLOOKUP($B289,'IA NARUC Table'!$B:$G,4,FALSE),"")</f>
        <v>Maintenance Expense</v>
      </c>
      <c r="J289" s="336" t="str">
        <f>IFERROR(VLOOKUP($B289,'IA NARUC Table'!$B:$G,5,FALSE),"")</f>
        <v>Water Treatment</v>
      </c>
      <c r="K289" s="336" t="s">
        <v>7868</v>
      </c>
    </row>
    <row r="290" spans="2:11" x14ac:dyDescent="0.25">
      <c r="B290" s="218" t="s">
        <v>4355</v>
      </c>
      <c r="C290" s="214" t="s">
        <v>7527</v>
      </c>
      <c r="D290" s="214" t="s">
        <v>7879</v>
      </c>
      <c r="E290" s="216">
        <f t="shared" si="4"/>
        <v>24</v>
      </c>
      <c r="F290" s="215">
        <v>24</v>
      </c>
      <c r="G290" s="215"/>
      <c r="H290" s="213"/>
      <c r="I290" s="335" t="str">
        <f>IFERROR(VLOOKUP($B290,'IA NARUC Table'!$B:$G,4,FALSE),"")</f>
        <v>Maintenance Expense</v>
      </c>
      <c r="J290" s="336" t="str">
        <f>IFERROR(VLOOKUP($B290,'IA NARUC Table'!$B:$G,5,FALSE),"")</f>
        <v>Water Treatment</v>
      </c>
      <c r="K290" s="336" t="s">
        <v>7868</v>
      </c>
    </row>
    <row r="291" spans="2:11" x14ac:dyDescent="0.25">
      <c r="B291" s="218" t="s">
        <v>4354</v>
      </c>
      <c r="C291" s="214" t="s">
        <v>7528</v>
      </c>
      <c r="D291" s="214" t="s">
        <v>7880</v>
      </c>
      <c r="E291" s="216">
        <f t="shared" si="4"/>
        <v>33636</v>
      </c>
      <c r="F291" s="215">
        <v>33636</v>
      </c>
      <c r="G291" s="215"/>
      <c r="H291" s="213"/>
      <c r="I291" s="335" t="str">
        <f>IFERROR(VLOOKUP($B291,'IA NARUC Table'!$B:$G,4,FALSE),"")</f>
        <v>Maintenance Expense</v>
      </c>
      <c r="J291" s="336" t="str">
        <f>IFERROR(VLOOKUP($B291,'IA NARUC Table'!$B:$G,5,FALSE),"")</f>
        <v>General T/D</v>
      </c>
      <c r="K291" s="336" t="s">
        <v>7868</v>
      </c>
    </row>
    <row r="292" spans="2:11" x14ac:dyDescent="0.25">
      <c r="B292" s="218" t="s">
        <v>4351</v>
      </c>
      <c r="C292" s="214" t="s">
        <v>7528</v>
      </c>
      <c r="D292" s="214" t="s">
        <v>7881</v>
      </c>
      <c r="E292" s="216">
        <f t="shared" si="4"/>
        <v>53100</v>
      </c>
      <c r="F292" s="215">
        <v>53100</v>
      </c>
      <c r="G292" s="215"/>
      <c r="H292" s="213"/>
      <c r="I292" s="335" t="str">
        <f>IFERROR(VLOOKUP($B292,'IA NARUC Table'!$B:$G,4,FALSE),"")</f>
        <v>Maintenance Expense</v>
      </c>
      <c r="J292" s="336" t="str">
        <f>IFERROR(VLOOKUP($B292,'IA NARUC Table'!$B:$G,5,FALSE),"")</f>
        <v>General Mains</v>
      </c>
      <c r="K292" s="336" t="s">
        <v>7868</v>
      </c>
    </row>
    <row r="293" spans="2:11" x14ac:dyDescent="0.25">
      <c r="B293" s="218" t="s">
        <v>4349</v>
      </c>
      <c r="C293" s="214" t="s">
        <v>7528</v>
      </c>
      <c r="D293" s="214" t="s">
        <v>7882</v>
      </c>
      <c r="E293" s="216">
        <f t="shared" si="4"/>
        <v>144</v>
      </c>
      <c r="F293" s="215">
        <v>144</v>
      </c>
      <c r="G293" s="215"/>
      <c r="H293" s="26"/>
      <c r="I293" s="335" t="str">
        <f>IFERROR(VLOOKUP($B293,'IA NARUC Table'!$B:$G,4,FALSE),"")</f>
        <v>Maintenance Expense</v>
      </c>
      <c r="J293" s="336" t="str">
        <f>IFERROR(VLOOKUP($B293,'IA NARUC Table'!$B:$G,5,FALSE),"")</f>
        <v>Services</v>
      </c>
      <c r="K293" s="336" t="s">
        <v>7868</v>
      </c>
    </row>
    <row r="294" spans="2:11" x14ac:dyDescent="0.25">
      <c r="B294" s="218" t="s">
        <v>4347</v>
      </c>
      <c r="C294" s="214" t="s">
        <v>7528</v>
      </c>
      <c r="D294" s="214" t="s">
        <v>7883</v>
      </c>
      <c r="E294" s="216">
        <f t="shared" si="4"/>
        <v>6108</v>
      </c>
      <c r="F294" s="215">
        <v>6108</v>
      </c>
      <c r="G294" s="215"/>
      <c r="H294" s="212"/>
      <c r="I294" s="335" t="str">
        <f>IFERROR(VLOOKUP($B294,'IA NARUC Table'!$B:$G,4,FALSE),"")</f>
        <v>Maintenance Expense</v>
      </c>
      <c r="J294" s="336" t="str">
        <f>IFERROR(VLOOKUP($B294,'IA NARUC Table'!$B:$G,5,FALSE),"")</f>
        <v>Hydrants</v>
      </c>
      <c r="K294" s="336" t="s">
        <v>7868</v>
      </c>
    </row>
    <row r="295" spans="2:11" x14ac:dyDescent="0.25">
      <c r="B295" s="218" t="s">
        <v>4346</v>
      </c>
      <c r="C295" s="214" t="s">
        <v>7465</v>
      </c>
      <c r="D295" s="214" t="s">
        <v>7884</v>
      </c>
      <c r="E295" s="216">
        <f t="shared" si="4"/>
        <v>1822</v>
      </c>
      <c r="F295" s="215">
        <v>1822</v>
      </c>
      <c r="G295" s="215"/>
      <c r="H295" s="212"/>
      <c r="I295" s="335" t="str">
        <f>IFERROR(VLOOKUP($B295,'IA NARUC Table'!$B:$G,4,FALSE),"")</f>
        <v>Maintenance Expense</v>
      </c>
      <c r="J295" s="336" t="str">
        <f>IFERROR(VLOOKUP($B295,'IA NARUC Table'!$B:$G,5,FALSE),"")</f>
        <v>Admin &amp; General</v>
      </c>
      <c r="K295" s="336" t="s">
        <v>7868</v>
      </c>
    </row>
    <row r="296" spans="2:11" x14ac:dyDescent="0.25">
      <c r="B296" s="218" t="s">
        <v>4341</v>
      </c>
      <c r="C296" s="214" t="s">
        <v>7528</v>
      </c>
      <c r="D296" s="214" t="s">
        <v>7885</v>
      </c>
      <c r="E296" s="216">
        <f t="shared" si="4"/>
        <v>309579</v>
      </c>
      <c r="F296" s="215">
        <v>309579</v>
      </c>
      <c r="G296" s="215"/>
      <c r="H296" s="212"/>
      <c r="I296" s="335" t="str">
        <f>IFERROR(VLOOKUP($B296,'IA NARUC Table'!$B:$G,4,FALSE),"")</f>
        <v>Maintenance Expense</v>
      </c>
      <c r="J296" s="336" t="str">
        <f>IFERROR(VLOOKUP($B296,'IA NARUC Table'!$B:$G,5,FALSE),"")</f>
        <v>General T/D</v>
      </c>
      <c r="K296" s="336" t="s">
        <v>7868</v>
      </c>
    </row>
    <row r="297" spans="2:11" x14ac:dyDescent="0.25">
      <c r="B297" s="218" t="s">
        <v>4340</v>
      </c>
      <c r="C297" s="214" t="s">
        <v>7528</v>
      </c>
      <c r="D297" s="214" t="s">
        <v>7886</v>
      </c>
      <c r="E297" s="216">
        <f t="shared" si="4"/>
        <v>532056</v>
      </c>
      <c r="F297" s="215">
        <v>532056</v>
      </c>
      <c r="G297" s="215"/>
      <c r="H297" s="212"/>
      <c r="I297" s="335" t="str">
        <f>IFERROR(VLOOKUP($B297,'IA NARUC Table'!$B:$G,4,FALSE),"")</f>
        <v>Maintenance Expense</v>
      </c>
      <c r="J297" s="336" t="str">
        <f>IFERROR(VLOOKUP($B297,'IA NARUC Table'!$B:$G,5,FALSE),"")</f>
        <v>General T/D</v>
      </c>
      <c r="K297" s="336" t="s">
        <v>7868</v>
      </c>
    </row>
    <row r="298" spans="2:11" x14ac:dyDescent="0.25">
      <c r="B298" s="218" t="s">
        <v>4337</v>
      </c>
      <c r="C298" s="214" t="s">
        <v>7528</v>
      </c>
      <c r="D298" s="214" t="s">
        <v>7887</v>
      </c>
      <c r="E298" s="216">
        <f t="shared" si="4"/>
        <v>8316</v>
      </c>
      <c r="F298" s="215">
        <v>8316</v>
      </c>
      <c r="G298" s="215"/>
      <c r="H298" s="212"/>
      <c r="I298" s="335" t="str">
        <f>IFERROR(VLOOKUP($B298,'IA NARUC Table'!$B:$G,4,FALSE),"")</f>
        <v>Maintenance Expense</v>
      </c>
      <c r="J298" s="336" t="str">
        <f>IFERROR(VLOOKUP($B298,'IA NARUC Table'!$B:$G,5,FALSE),"")</f>
        <v>General T/D</v>
      </c>
      <c r="K298" s="336" t="s">
        <v>7868</v>
      </c>
    </row>
    <row r="299" spans="2:11" x14ac:dyDescent="0.25">
      <c r="B299" s="218" t="s">
        <v>4333</v>
      </c>
      <c r="C299" s="214" t="s">
        <v>7531</v>
      </c>
      <c r="D299" s="214" t="s">
        <v>7888</v>
      </c>
      <c r="E299" s="216">
        <f t="shared" si="4"/>
        <v>8520</v>
      </c>
      <c r="F299" s="215">
        <v>8520</v>
      </c>
      <c r="G299" s="215"/>
      <c r="H299" s="212"/>
      <c r="I299" s="335" t="str">
        <f>IFERROR(VLOOKUP($B299,'IA NARUC Table'!$B:$G,4,FALSE),"")</f>
        <v>Maintenance Expense</v>
      </c>
      <c r="J299" s="336" t="str">
        <f>IFERROR(VLOOKUP($B299,'IA NARUC Table'!$B:$G,5,FALSE),"")</f>
        <v>General T/D</v>
      </c>
      <c r="K299" s="336" t="s">
        <v>7868</v>
      </c>
    </row>
    <row r="300" spans="2:11" x14ac:dyDescent="0.25">
      <c r="B300" s="218" t="s">
        <v>4331</v>
      </c>
      <c r="C300" s="214" t="s">
        <v>7532</v>
      </c>
      <c r="D300" s="214" t="s">
        <v>7889</v>
      </c>
      <c r="E300" s="216">
        <f t="shared" si="4"/>
        <v>31452</v>
      </c>
      <c r="F300" s="215">
        <v>31452</v>
      </c>
      <c r="G300" s="215"/>
      <c r="H300" s="212"/>
      <c r="I300" s="335" t="str">
        <f>IFERROR(VLOOKUP($B300,'IA NARUC Table'!$B:$G,4,FALSE),"")</f>
        <v>Maintenance Expense</v>
      </c>
      <c r="J300" s="336" t="str">
        <f>IFERROR(VLOOKUP($B300,'IA NARUC Table'!$B:$G,5,FALSE),"")</f>
        <v>Source of Supply</v>
      </c>
      <c r="K300" s="336" t="s">
        <v>7868</v>
      </c>
    </row>
    <row r="301" spans="2:11" x14ac:dyDescent="0.25">
      <c r="B301" s="218" t="s">
        <v>4330</v>
      </c>
      <c r="C301" s="214" t="s">
        <v>7490</v>
      </c>
      <c r="D301" s="214" t="s">
        <v>7890</v>
      </c>
      <c r="E301" s="216">
        <f t="shared" si="4"/>
        <v>900</v>
      </c>
      <c r="F301" s="215">
        <v>900</v>
      </c>
      <c r="G301" s="215"/>
      <c r="H301" s="212"/>
      <c r="I301" s="335" t="str">
        <f>IFERROR(VLOOKUP($B301,'IA NARUC Table'!$B:$G,4,FALSE),"")</f>
        <v>Maintenance Expense</v>
      </c>
      <c r="J301" s="336" t="str">
        <f>IFERROR(VLOOKUP($B301,'IA NARUC Table'!$B:$G,5,FALSE),"")</f>
        <v>Pumping</v>
      </c>
      <c r="K301" s="336" t="s">
        <v>7868</v>
      </c>
    </row>
    <row r="302" spans="2:11" x14ac:dyDescent="0.25">
      <c r="B302" s="218" t="s">
        <v>4329</v>
      </c>
      <c r="C302" s="214" t="s">
        <v>7533</v>
      </c>
      <c r="D302" s="214" t="s">
        <v>7891</v>
      </c>
      <c r="E302" s="216">
        <f t="shared" si="4"/>
        <v>11976</v>
      </c>
      <c r="F302" s="215">
        <v>11976</v>
      </c>
      <c r="G302" s="215"/>
      <c r="H302" s="212"/>
      <c r="I302" s="335" t="str">
        <f>IFERROR(VLOOKUP($B302,'IA NARUC Table'!$B:$G,4,FALSE),"")</f>
        <v>Maintenance Expense</v>
      </c>
      <c r="J302" s="336" t="str">
        <f>IFERROR(VLOOKUP($B302,'IA NARUC Table'!$B:$G,5,FALSE),"")</f>
        <v>Water Treatment</v>
      </c>
      <c r="K302" s="336" t="s">
        <v>7868</v>
      </c>
    </row>
    <row r="303" spans="2:11" x14ac:dyDescent="0.25">
      <c r="B303" s="218" t="s">
        <v>4328</v>
      </c>
      <c r="C303" s="214" t="s">
        <v>7534</v>
      </c>
      <c r="D303" s="214" t="s">
        <v>7892</v>
      </c>
      <c r="E303" s="216">
        <f t="shared" si="4"/>
        <v>268380</v>
      </c>
      <c r="F303" s="215">
        <v>268380</v>
      </c>
      <c r="G303" s="215"/>
      <c r="H303" s="212"/>
      <c r="I303" s="335" t="str">
        <f>IFERROR(VLOOKUP($B303,'IA NARUC Table'!$B:$G,4,FALSE),"")</f>
        <v>Maintenance Expense</v>
      </c>
      <c r="J303" s="336" t="str">
        <f>IFERROR(VLOOKUP($B303,'IA NARUC Table'!$B:$G,5,FALSE),"")</f>
        <v>General T/D</v>
      </c>
      <c r="K303" s="336" t="s">
        <v>7868</v>
      </c>
    </row>
    <row r="304" spans="2:11" x14ac:dyDescent="0.25">
      <c r="B304" s="218" t="s">
        <v>4327</v>
      </c>
      <c r="C304" s="214" t="s">
        <v>7488</v>
      </c>
      <c r="D304" s="214" t="s">
        <v>7893</v>
      </c>
      <c r="E304" s="216">
        <f t="shared" si="4"/>
        <v>6600</v>
      </c>
      <c r="F304" s="215">
        <v>6600</v>
      </c>
      <c r="G304" s="215"/>
      <c r="H304" s="26"/>
      <c r="I304" s="335" t="str">
        <f>IFERROR(VLOOKUP($B304,'IA NARUC Table'!$B:$G,4,FALSE),"")</f>
        <v>Maintenance Expense</v>
      </c>
      <c r="J304" s="336" t="str">
        <f>IFERROR(VLOOKUP($B304,'IA NARUC Table'!$B:$G,5,FALSE),"")</f>
        <v>Admin &amp; General</v>
      </c>
      <c r="K304" s="336" t="s">
        <v>7868</v>
      </c>
    </row>
    <row r="305" spans="2:11" x14ac:dyDescent="0.25">
      <c r="B305" s="218" t="s">
        <v>4161</v>
      </c>
      <c r="C305" s="214" t="s">
        <v>7465</v>
      </c>
      <c r="D305" s="214" t="s">
        <v>7895</v>
      </c>
      <c r="E305" s="216">
        <f t="shared" si="4"/>
        <v>18456519</v>
      </c>
      <c r="F305" s="215">
        <v>18456519</v>
      </c>
      <c r="G305" s="215"/>
      <c r="H305" s="212"/>
      <c r="I305" s="335" t="str">
        <f>IFERROR(VLOOKUP($B305,'IA NARUC Table'!$B:$G,4,FALSE),"")</f>
        <v>Other Expenses</v>
      </c>
      <c r="J305" s="336">
        <f>IFERROR(VLOOKUP($B305,'IA NARUC Table'!$B:$G,5,FALSE),"")</f>
        <v>0</v>
      </c>
      <c r="K305" s="336" t="s">
        <v>7894</v>
      </c>
    </row>
    <row r="306" spans="2:11" x14ac:dyDescent="0.25">
      <c r="B306" s="218" t="s">
        <v>4160</v>
      </c>
      <c r="C306" s="214" t="s">
        <v>7465</v>
      </c>
      <c r="D306" s="214" t="s">
        <v>7896</v>
      </c>
      <c r="E306" s="216">
        <f t="shared" si="4"/>
        <v>-1598830</v>
      </c>
      <c r="F306" s="215">
        <v>-1598830</v>
      </c>
      <c r="G306" s="215"/>
      <c r="H306" s="212"/>
      <c r="I306" s="335" t="str">
        <f>IFERROR(VLOOKUP($B306,'IA NARUC Table'!$B:$G,4,FALSE),"")</f>
        <v>Other Expenses</v>
      </c>
      <c r="J306" s="336">
        <f>IFERROR(VLOOKUP($B306,'IA NARUC Table'!$B:$G,5,FALSE),"")</f>
        <v>0</v>
      </c>
      <c r="K306" s="336" t="s">
        <v>7894</v>
      </c>
    </row>
    <row r="307" spans="2:11" x14ac:dyDescent="0.25">
      <c r="B307" s="218" t="s">
        <v>4159</v>
      </c>
      <c r="C307" s="214" t="s">
        <v>7465</v>
      </c>
      <c r="D307" s="214" t="s">
        <v>7897</v>
      </c>
      <c r="E307" s="216">
        <f t="shared" si="4"/>
        <v>1600031</v>
      </c>
      <c r="F307" s="215">
        <v>1600031</v>
      </c>
      <c r="G307" s="215"/>
      <c r="H307" s="212"/>
      <c r="I307" s="335" t="str">
        <f>IFERROR(VLOOKUP($B307,'IA NARUC Table'!$B:$G,4,FALSE),"")</f>
        <v>Other Expenses</v>
      </c>
      <c r="J307" s="336">
        <f>IFERROR(VLOOKUP($B307,'IA NARUC Table'!$B:$G,5,FALSE),"")</f>
        <v>0</v>
      </c>
      <c r="K307" s="336" t="s">
        <v>7894</v>
      </c>
    </row>
    <row r="308" spans="2:11" x14ac:dyDescent="0.25">
      <c r="B308" s="218" t="s">
        <v>4158</v>
      </c>
      <c r="C308" s="214" t="s">
        <v>7465</v>
      </c>
      <c r="D308" s="214" t="s">
        <v>7898</v>
      </c>
      <c r="E308" s="216">
        <f t="shared" si="4"/>
        <v>-25807</v>
      </c>
      <c r="F308" s="215">
        <v>-25807</v>
      </c>
      <c r="G308" s="215"/>
      <c r="H308" s="212"/>
      <c r="I308" s="335" t="str">
        <f>IFERROR(VLOOKUP($B308,'IA NARUC Table'!$B:$G,4,FALSE),"")</f>
        <v>Other Expenses</v>
      </c>
      <c r="J308" s="336">
        <f>IFERROR(VLOOKUP($B308,'IA NARUC Table'!$B:$G,5,FALSE),"")</f>
        <v>0</v>
      </c>
      <c r="K308" s="336" t="s">
        <v>7894</v>
      </c>
    </row>
    <row r="309" spans="2:11" x14ac:dyDescent="0.25">
      <c r="B309" s="218" t="s">
        <v>4153</v>
      </c>
      <c r="C309" s="214" t="s">
        <v>7465</v>
      </c>
      <c r="D309" s="214" t="s">
        <v>7899</v>
      </c>
      <c r="E309" s="216">
        <f t="shared" si="4"/>
        <v>1101078</v>
      </c>
      <c r="F309" s="215">
        <v>1101078</v>
      </c>
      <c r="G309" s="215"/>
      <c r="H309" s="212"/>
      <c r="I309" s="335" t="str">
        <f>IFERROR(VLOOKUP($B309,'IA NARUC Table'!$B:$G,4,FALSE),"")</f>
        <v>Other Expenses</v>
      </c>
      <c r="J309" s="336">
        <f>IFERROR(VLOOKUP($B309,'IA NARUC Table'!$B:$G,5,FALSE),"")</f>
        <v>0</v>
      </c>
      <c r="K309" s="336" t="s">
        <v>7894</v>
      </c>
    </row>
    <row r="310" spans="2:11" x14ac:dyDescent="0.25">
      <c r="B310" s="218" t="s">
        <v>4152</v>
      </c>
      <c r="C310" s="214" t="s">
        <v>7465</v>
      </c>
      <c r="D310" s="214" t="s">
        <v>7900</v>
      </c>
      <c r="E310" s="216">
        <f t="shared" si="4"/>
        <v>0</v>
      </c>
      <c r="F310" s="215">
        <v>0</v>
      </c>
      <c r="G310" s="215"/>
      <c r="H310" s="212"/>
      <c r="I310" s="335" t="str">
        <f>IFERROR(VLOOKUP($B310,'IA NARUC Table'!$B:$G,4,FALSE),"")</f>
        <v>Other Expenses</v>
      </c>
      <c r="J310" s="336">
        <f>IFERROR(VLOOKUP($B310,'IA NARUC Table'!$B:$G,5,FALSE),"")</f>
        <v>0</v>
      </c>
      <c r="K310" s="336" t="s">
        <v>7894</v>
      </c>
    </row>
    <row r="311" spans="2:11" x14ac:dyDescent="0.25">
      <c r="B311" s="218" t="s">
        <v>4151</v>
      </c>
      <c r="C311" s="214" t="s">
        <v>7465</v>
      </c>
      <c r="D311" s="214" t="s">
        <v>7901</v>
      </c>
      <c r="E311" s="216">
        <f t="shared" si="4"/>
        <v>-2146128</v>
      </c>
      <c r="F311" s="215">
        <v>-2146128</v>
      </c>
      <c r="G311" s="215"/>
      <c r="H311" s="212"/>
      <c r="I311" s="335" t="str">
        <f>IFERROR(VLOOKUP($B311,'IA NARUC Table'!$B:$G,4,FALSE),"")</f>
        <v>Other Expenses</v>
      </c>
      <c r="J311" s="336">
        <f>IFERROR(VLOOKUP($B311,'IA NARUC Table'!$B:$G,5,FALSE),"")</f>
        <v>0</v>
      </c>
      <c r="K311" s="336" t="s">
        <v>7894</v>
      </c>
    </row>
    <row r="312" spans="2:11" x14ac:dyDescent="0.25">
      <c r="B312" s="218" t="s">
        <v>4150</v>
      </c>
      <c r="C312" s="214" t="s">
        <v>7465</v>
      </c>
      <c r="D312" s="214" t="s">
        <v>7902</v>
      </c>
      <c r="E312" s="216">
        <f t="shared" si="4"/>
        <v>1046494</v>
      </c>
      <c r="F312" s="215">
        <v>1046494</v>
      </c>
      <c r="G312" s="215"/>
      <c r="H312" s="212"/>
      <c r="I312" s="335" t="str">
        <f>IFERROR(VLOOKUP($B312,'IA NARUC Table'!$B:$G,4,FALSE),"")</f>
        <v>Other Expenses</v>
      </c>
      <c r="J312" s="336">
        <f>IFERROR(VLOOKUP($B312,'IA NARUC Table'!$B:$G,5,FALSE),"")</f>
        <v>0</v>
      </c>
      <c r="K312" s="336" t="s">
        <v>7894</v>
      </c>
    </row>
    <row r="313" spans="2:11" x14ac:dyDescent="0.25">
      <c r="B313" s="218" t="s">
        <v>4149</v>
      </c>
      <c r="C313" s="214" t="s">
        <v>7465</v>
      </c>
      <c r="D313" s="214" t="s">
        <v>7903</v>
      </c>
      <c r="E313" s="216">
        <f t="shared" si="4"/>
        <v>2137728</v>
      </c>
      <c r="F313" s="215">
        <v>2137728</v>
      </c>
      <c r="G313" s="215"/>
      <c r="H313" s="212"/>
      <c r="I313" s="335" t="str">
        <f>IFERROR(VLOOKUP($B313,'IA NARUC Table'!$B:$G,4,FALSE),"")</f>
        <v>Other Expenses</v>
      </c>
      <c r="J313" s="336">
        <f>IFERROR(VLOOKUP($B313,'IA NARUC Table'!$B:$G,5,FALSE),"")</f>
        <v>0</v>
      </c>
      <c r="K313" s="336" t="s">
        <v>7894</v>
      </c>
    </row>
    <row r="314" spans="2:11" x14ac:dyDescent="0.25">
      <c r="B314" s="218" t="s">
        <v>4148</v>
      </c>
      <c r="C314" s="214" t="s">
        <v>7465</v>
      </c>
      <c r="D314" s="214" t="s">
        <v>7904</v>
      </c>
      <c r="E314" s="216">
        <f t="shared" si="4"/>
        <v>-967719</v>
      </c>
      <c r="F314" s="215">
        <v>-967719</v>
      </c>
      <c r="G314" s="215"/>
      <c r="H314" s="212"/>
      <c r="I314" s="335" t="str">
        <f>IFERROR(VLOOKUP($B314,'IA NARUC Table'!$B:$G,4,FALSE),"")</f>
        <v>Other Expenses</v>
      </c>
      <c r="J314" s="336">
        <f>IFERROR(VLOOKUP($B314,'IA NARUC Table'!$B:$G,5,FALSE),"")</f>
        <v>0</v>
      </c>
      <c r="K314" s="336" t="s">
        <v>7894</v>
      </c>
    </row>
    <row r="315" spans="2:11" x14ac:dyDescent="0.25">
      <c r="B315" s="218" t="s">
        <v>4147</v>
      </c>
      <c r="C315" s="214" t="s">
        <v>7465</v>
      </c>
      <c r="D315" s="214" t="s">
        <v>7905</v>
      </c>
      <c r="E315" s="216">
        <f t="shared" si="4"/>
        <v>-82651</v>
      </c>
      <c r="F315" s="215">
        <v>-82651</v>
      </c>
      <c r="G315" s="215"/>
      <c r="H315" s="26"/>
      <c r="I315" s="335" t="str">
        <f>IFERROR(VLOOKUP($B315,'IA NARUC Table'!$B:$G,4,FALSE),"")</f>
        <v>Other Expenses</v>
      </c>
      <c r="J315" s="336">
        <f>IFERROR(VLOOKUP($B315,'IA NARUC Table'!$B:$G,5,FALSE),"")</f>
        <v>0</v>
      </c>
      <c r="K315" s="336" t="s">
        <v>7894</v>
      </c>
    </row>
    <row r="316" spans="2:11" x14ac:dyDescent="0.25">
      <c r="B316" s="218" t="s">
        <v>4145</v>
      </c>
      <c r="C316" s="214" t="s">
        <v>7465</v>
      </c>
      <c r="D316" s="214" t="s">
        <v>7906</v>
      </c>
      <c r="E316" s="216">
        <f t="shared" si="4"/>
        <v>-701326</v>
      </c>
      <c r="F316" s="215">
        <v>-701326</v>
      </c>
      <c r="G316" s="215"/>
      <c r="H316" s="212"/>
      <c r="I316" s="335" t="str">
        <f>IFERROR(VLOOKUP($B316,'IA NARUC Table'!$B:$G,4,FALSE),"")</f>
        <v>Other Expenses</v>
      </c>
      <c r="J316" s="336">
        <f>IFERROR(VLOOKUP($B316,'IA NARUC Table'!$B:$G,5,FALSE),"")</f>
        <v>0</v>
      </c>
      <c r="K316" s="336" t="s">
        <v>7894</v>
      </c>
    </row>
    <row r="317" spans="2:11" x14ac:dyDescent="0.25">
      <c r="B317" s="218" t="s">
        <v>4144</v>
      </c>
      <c r="C317" s="214" t="s">
        <v>7465</v>
      </c>
      <c r="D317" s="214" t="s">
        <v>7907</v>
      </c>
      <c r="E317" s="216">
        <f t="shared" si="4"/>
        <v>-94502</v>
      </c>
      <c r="F317" s="215">
        <v>-94502</v>
      </c>
      <c r="G317" s="215"/>
      <c r="H317" s="212"/>
      <c r="I317" s="335" t="str">
        <f>IFERROR(VLOOKUP($B317,'IA NARUC Table'!$B:$G,4,FALSE),"")</f>
        <v>Other Expenses</v>
      </c>
      <c r="J317" s="336">
        <f>IFERROR(VLOOKUP($B317,'IA NARUC Table'!$B:$G,5,FALSE),"")</f>
        <v>0</v>
      </c>
      <c r="K317" s="336" t="s">
        <v>7894</v>
      </c>
    </row>
    <row r="318" spans="2:11" x14ac:dyDescent="0.25">
      <c r="B318" s="218" t="s">
        <v>4143</v>
      </c>
      <c r="C318" s="214" t="s">
        <v>7465</v>
      </c>
      <c r="D318" s="214" t="s">
        <v>7908</v>
      </c>
      <c r="E318" s="216">
        <f t="shared" si="4"/>
        <v>-18724887</v>
      </c>
      <c r="F318" s="215">
        <v>-18724887</v>
      </c>
      <c r="G318" s="215"/>
      <c r="H318" s="26"/>
      <c r="I318" s="335" t="str">
        <f>IFERROR(VLOOKUP($B318,'IA NARUC Table'!$B:$G,4,FALSE),"")</f>
        <v>Other Expenses</v>
      </c>
      <c r="J318" s="336">
        <f>IFERROR(VLOOKUP($B318,'IA NARUC Table'!$B:$G,5,FALSE),"")</f>
        <v>0</v>
      </c>
      <c r="K318" s="336" t="s">
        <v>7894</v>
      </c>
    </row>
    <row r="319" spans="2:11" x14ac:dyDescent="0.25">
      <c r="B319" s="218" t="s">
        <v>4326</v>
      </c>
      <c r="C319" s="214" t="s">
        <v>7535</v>
      </c>
      <c r="D319" s="214" t="s">
        <v>7909</v>
      </c>
      <c r="E319" s="216">
        <f t="shared" si="4"/>
        <v>7124660</v>
      </c>
      <c r="F319" s="215">
        <v>7124660</v>
      </c>
      <c r="G319" s="215"/>
      <c r="H319" s="212"/>
      <c r="I319" s="335" t="str">
        <f>IFERROR(VLOOKUP($B319,'IA NARUC Table'!$B:$G,4,FALSE),"")</f>
        <v>Depreciation Expense</v>
      </c>
      <c r="J319" s="336">
        <f>IFERROR(VLOOKUP($B319,'IA NARUC Table'!$B:$G,5,FALSE),"")</f>
        <v>0</v>
      </c>
      <c r="K319" s="336" t="s">
        <v>0</v>
      </c>
    </row>
    <row r="320" spans="2:11" x14ac:dyDescent="0.25">
      <c r="B320" s="218" t="s">
        <v>4325</v>
      </c>
      <c r="C320" s="214" t="s">
        <v>7535</v>
      </c>
      <c r="D320" s="214" t="s">
        <v>7910</v>
      </c>
      <c r="E320" s="216">
        <f t="shared" si="4"/>
        <v>0</v>
      </c>
      <c r="F320" s="215">
        <v>0</v>
      </c>
      <c r="G320" s="215"/>
      <c r="H320" s="212"/>
      <c r="I320" s="335" t="str">
        <f>IFERROR(VLOOKUP($B320,'IA NARUC Table'!$B:$G,4,FALSE),"")</f>
        <v>Depreciation Expense</v>
      </c>
      <c r="J320" s="336">
        <f>IFERROR(VLOOKUP($B320,'IA NARUC Table'!$B:$G,5,FALSE),"")</f>
        <v>0</v>
      </c>
      <c r="K320" s="336" t="s">
        <v>0</v>
      </c>
    </row>
    <row r="321" spans="2:11" x14ac:dyDescent="0.25">
      <c r="B321" s="218" t="s">
        <v>4317</v>
      </c>
      <c r="C321" s="214" t="s">
        <v>7536</v>
      </c>
      <c r="D321" s="214" t="s">
        <v>7911</v>
      </c>
      <c r="E321" s="216">
        <f t="shared" si="4"/>
        <v>11112</v>
      </c>
      <c r="F321" s="215">
        <v>11112</v>
      </c>
      <c r="G321" s="215"/>
      <c r="H321" s="212"/>
      <c r="I321" s="335" t="str">
        <f>IFERROR(VLOOKUP($B321,'IA NARUC Table'!$B:$G,4,FALSE),"")</f>
        <v>Amortization Expense</v>
      </c>
      <c r="J321" s="336" t="str">
        <f>IFERROR(VLOOKUP($B321,'IA NARUC Table'!$B:$G,5,FALSE),"")</f>
        <v>Amortization - Post In-Service AFUDC</v>
      </c>
      <c r="K321" s="336" t="s">
        <v>7157</v>
      </c>
    </row>
    <row r="322" spans="2:11" x14ac:dyDescent="0.25">
      <c r="B322" s="218" t="s">
        <v>4316</v>
      </c>
      <c r="C322" s="214" t="s">
        <v>7536</v>
      </c>
      <c r="D322" s="214" t="s">
        <v>7912</v>
      </c>
      <c r="E322" s="216">
        <f t="shared" si="4"/>
        <v>54747</v>
      </c>
      <c r="F322" s="215">
        <v>54747</v>
      </c>
      <c r="G322" s="215"/>
      <c r="H322" s="212"/>
      <c r="I322" s="335" t="str">
        <f>IFERROR(VLOOKUP($B322,'IA NARUC Table'!$B:$G,4,FALSE),"")</f>
        <v>Amortization Expense</v>
      </c>
      <c r="J322" s="336" t="str">
        <f>IFERROR(VLOOKUP($B322,'IA NARUC Table'!$B:$G,5,FALSE),"")</f>
        <v>Amortization - Reg Asset AFUDC</v>
      </c>
      <c r="K322" s="336" t="s">
        <v>7157</v>
      </c>
    </row>
    <row r="323" spans="2:11" x14ac:dyDescent="0.25">
      <c r="B323" s="218" t="s">
        <v>4312</v>
      </c>
      <c r="C323" s="214" t="s">
        <v>7539</v>
      </c>
      <c r="D323" s="214" t="s">
        <v>7913</v>
      </c>
      <c r="E323" s="216">
        <f t="shared" si="4"/>
        <v>13344</v>
      </c>
      <c r="F323" s="215">
        <v>13344</v>
      </c>
      <c r="G323" s="215"/>
      <c r="H323" s="212"/>
      <c r="I323" s="335" t="str">
        <f>IFERROR(VLOOKUP($B323,'IA NARUC Table'!$B:$G,4,FALSE),"")</f>
        <v>Amortization Expense</v>
      </c>
      <c r="J323" s="336" t="str">
        <f>IFERROR(VLOOKUP($B323,'IA NARUC Table'!$B:$G,5,FALSE),"")</f>
        <v>Amortization - Reg Asset</v>
      </c>
      <c r="K323" s="336" t="s">
        <v>7157</v>
      </c>
    </row>
    <row r="324" spans="2:11" x14ac:dyDescent="0.25">
      <c r="B324" s="218" t="s">
        <v>4310</v>
      </c>
      <c r="C324" s="214" t="s">
        <v>7535</v>
      </c>
      <c r="D324" s="214" t="s">
        <v>7915</v>
      </c>
      <c r="E324" s="216">
        <f t="shared" si="4"/>
        <v>1163273</v>
      </c>
      <c r="F324" s="215">
        <v>1163273</v>
      </c>
      <c r="G324" s="215"/>
      <c r="H324" s="212"/>
      <c r="I324" s="335" t="str">
        <f>IFERROR(VLOOKUP($B324,'IA NARUC Table'!$B:$G,4,FALSE),"")</f>
        <v>Removal Cost</v>
      </c>
      <c r="J324" s="336">
        <f>IFERROR(VLOOKUP($B324,'IA NARUC Table'!$B:$G,5,FALSE),"")</f>
        <v>0</v>
      </c>
      <c r="K324" s="336" t="s">
        <v>7914</v>
      </c>
    </row>
    <row r="325" spans="2:11" x14ac:dyDescent="0.25">
      <c r="B325" s="218" t="s">
        <v>4289</v>
      </c>
      <c r="C325" s="214" t="s">
        <v>7546</v>
      </c>
      <c r="D325" s="214" t="s">
        <v>7917</v>
      </c>
      <c r="E325" s="216">
        <f t="shared" si="4"/>
        <v>963776.5</v>
      </c>
      <c r="F325" s="215">
        <v>963776.5</v>
      </c>
      <c r="G325" s="215"/>
      <c r="H325" s="212"/>
      <c r="I325" s="335" t="str">
        <f>IFERROR(VLOOKUP($B325,'IA NARUC Table'!$B:$G,4,FALSE),"")</f>
        <v>Income Taxes</v>
      </c>
      <c r="J325" s="336" t="str">
        <f>IFERROR(VLOOKUP($B325,'IA NARUC Table'!$B:$G,5,FALSE),"")</f>
        <v>Federal Income Tax</v>
      </c>
      <c r="K325" s="336" t="s">
        <v>7916</v>
      </c>
    </row>
    <row r="326" spans="2:11" x14ac:dyDescent="0.25">
      <c r="B326" s="218" t="s">
        <v>4287</v>
      </c>
      <c r="C326" s="214" t="s">
        <v>7546</v>
      </c>
      <c r="D326" s="214" t="s">
        <v>7918</v>
      </c>
      <c r="E326" s="216">
        <f t="shared" si="4"/>
        <v>17350</v>
      </c>
      <c r="F326" s="215">
        <v>17350</v>
      </c>
      <c r="G326" s="215"/>
      <c r="H326" s="212"/>
      <c r="I326" s="335" t="str">
        <f>IFERROR(VLOOKUP($B326,'IA NARUC Table'!$B:$G,4,FALSE),"")</f>
        <v>Income Taxes</v>
      </c>
      <c r="J326" s="336" t="str">
        <f>IFERROR(VLOOKUP($B326,'IA NARUC Table'!$B:$G,5,FALSE),"")</f>
        <v>Federal Income Tax</v>
      </c>
      <c r="K326" s="336" t="s">
        <v>7916</v>
      </c>
    </row>
    <row r="327" spans="2:11" x14ac:dyDescent="0.25">
      <c r="B327" s="218" t="s">
        <v>4280</v>
      </c>
      <c r="C327" s="214" t="s">
        <v>7547</v>
      </c>
      <c r="D327" s="214" t="s">
        <v>7920</v>
      </c>
      <c r="E327" s="216">
        <f t="shared" ref="E327:E365" si="5">SUM(F327:G327)</f>
        <v>407189</v>
      </c>
      <c r="F327" s="215">
        <v>407189</v>
      </c>
      <c r="G327" s="215"/>
      <c r="H327" s="26"/>
      <c r="I327" s="335" t="str">
        <f>IFERROR(VLOOKUP($B327,'IA NARUC Table'!$B:$G,4,FALSE),"")</f>
        <v>Income Taxes</v>
      </c>
      <c r="J327" s="336" t="str">
        <f>IFERROR(VLOOKUP($B327,'IA NARUC Table'!$B:$G,5,FALSE),"")</f>
        <v>State Income Tax</v>
      </c>
      <c r="K327" s="336" t="s">
        <v>7919</v>
      </c>
    </row>
    <row r="328" spans="2:11" x14ac:dyDescent="0.25">
      <c r="B328" s="218" t="s">
        <v>4278</v>
      </c>
      <c r="C328" s="214" t="s">
        <v>7547</v>
      </c>
      <c r="D328" s="214" t="s">
        <v>7921</v>
      </c>
      <c r="E328" s="216">
        <f t="shared" si="5"/>
        <v>-45408</v>
      </c>
      <c r="F328" s="215">
        <v>-45408</v>
      </c>
      <c r="G328" s="215"/>
      <c r="H328" s="212"/>
      <c r="I328" s="335" t="str">
        <f>IFERROR(VLOOKUP($B328,'IA NARUC Table'!$B:$G,4,FALSE),"")</f>
        <v>Income Taxes</v>
      </c>
      <c r="J328" s="336" t="str">
        <f>IFERROR(VLOOKUP($B328,'IA NARUC Table'!$B:$G,5,FALSE),"")</f>
        <v>State Income Tax</v>
      </c>
      <c r="K328" s="336" t="s">
        <v>7919</v>
      </c>
    </row>
    <row r="329" spans="2:11" x14ac:dyDescent="0.25">
      <c r="B329" s="218" t="s">
        <v>4265</v>
      </c>
      <c r="C329" s="214" t="s">
        <v>7549</v>
      </c>
      <c r="D329" s="214" t="s">
        <v>7923</v>
      </c>
      <c r="E329" s="216">
        <f t="shared" si="5"/>
        <v>-666388</v>
      </c>
      <c r="F329" s="215">
        <v>-666388</v>
      </c>
      <c r="G329" s="215"/>
      <c r="H329" s="26"/>
      <c r="I329" s="335" t="str">
        <f>IFERROR(VLOOKUP($B329,'IA NARUC Table'!$B:$G,4,FALSE),"")</f>
        <v>Income Taxes</v>
      </c>
      <c r="J329" s="336" t="str">
        <f>IFERROR(VLOOKUP($B329,'IA NARUC Table'!$B:$G,5,FALSE),"")</f>
        <v>Federal Income Tax</v>
      </c>
      <c r="K329" s="336" t="s">
        <v>7922</v>
      </c>
    </row>
    <row r="330" spans="2:11" x14ac:dyDescent="0.25">
      <c r="B330" s="218" t="s">
        <v>4263</v>
      </c>
      <c r="C330" s="214" t="s">
        <v>7549</v>
      </c>
      <c r="D330" s="214" t="s">
        <v>7924</v>
      </c>
      <c r="E330" s="216">
        <f t="shared" si="5"/>
        <v>115057</v>
      </c>
      <c r="F330" s="215">
        <v>115057</v>
      </c>
      <c r="G330" s="215"/>
      <c r="H330" s="212"/>
      <c r="I330" s="335" t="str">
        <f>IFERROR(VLOOKUP($B330,'IA NARUC Table'!$B:$G,4,FALSE),"")</f>
        <v>Income Taxes</v>
      </c>
      <c r="J330" s="336" t="str">
        <f>IFERROR(VLOOKUP($B330,'IA NARUC Table'!$B:$G,5,FALSE),"")</f>
        <v>Federal Income Tax</v>
      </c>
      <c r="K330" s="336" t="s">
        <v>7922</v>
      </c>
    </row>
    <row r="331" spans="2:11" x14ac:dyDescent="0.25">
      <c r="B331" s="218" t="s">
        <v>4262</v>
      </c>
      <c r="C331" s="214" t="s">
        <v>7549</v>
      </c>
      <c r="D331" s="214" t="s">
        <v>7925</v>
      </c>
      <c r="E331" s="216">
        <f t="shared" si="5"/>
        <v>1180929</v>
      </c>
      <c r="F331" s="215">
        <v>1180929</v>
      </c>
      <c r="G331" s="215"/>
      <c r="H331" s="212"/>
      <c r="I331" s="335" t="str">
        <f>IFERROR(VLOOKUP($B331,'IA NARUC Table'!$B:$G,4,FALSE),"")</f>
        <v>Income Taxes</v>
      </c>
      <c r="J331" s="336" t="str">
        <f>IFERROR(VLOOKUP($B331,'IA NARUC Table'!$B:$G,5,FALSE),"")</f>
        <v>Federal Income Tax</v>
      </c>
      <c r="K331" s="336" t="s">
        <v>7922</v>
      </c>
    </row>
    <row r="332" spans="2:11" x14ac:dyDescent="0.25">
      <c r="B332" s="218" t="s">
        <v>4259</v>
      </c>
      <c r="C332" s="214" t="s">
        <v>7550</v>
      </c>
      <c r="D332" s="214" t="s">
        <v>7927</v>
      </c>
      <c r="E332" s="216">
        <f t="shared" si="5"/>
        <v>-233119</v>
      </c>
      <c r="F332" s="215">
        <v>-233119</v>
      </c>
      <c r="G332" s="215"/>
      <c r="H332" s="212"/>
      <c r="I332" s="335" t="str">
        <f>IFERROR(VLOOKUP($B332,'IA NARUC Table'!$B:$G,4,FALSE),"")</f>
        <v>Income Taxes</v>
      </c>
      <c r="J332" s="336" t="str">
        <f>IFERROR(VLOOKUP($B332,'IA NARUC Table'!$B:$G,5,FALSE),"")</f>
        <v>State Income Tax</v>
      </c>
      <c r="K332" s="336" t="s">
        <v>7926</v>
      </c>
    </row>
    <row r="333" spans="2:11" x14ac:dyDescent="0.25">
      <c r="B333" s="218" t="s">
        <v>4257</v>
      </c>
      <c r="C333" s="214" t="s">
        <v>7550</v>
      </c>
      <c r="D333" s="214" t="s">
        <v>7928</v>
      </c>
      <c r="E333" s="216">
        <f t="shared" si="5"/>
        <v>86189</v>
      </c>
      <c r="F333" s="215">
        <v>86189</v>
      </c>
      <c r="G333" s="215"/>
      <c r="H333" s="212"/>
      <c r="I333" s="335" t="str">
        <f>IFERROR(VLOOKUP($B333,'IA NARUC Table'!$B:$G,4,FALSE),"")</f>
        <v>Income Taxes</v>
      </c>
      <c r="J333" s="336" t="str">
        <f>IFERROR(VLOOKUP($B333,'IA NARUC Table'!$B:$G,5,FALSE),"")</f>
        <v>State Income Tax</v>
      </c>
      <c r="K333" s="336" t="s">
        <v>7926</v>
      </c>
    </row>
    <row r="334" spans="2:11" x14ac:dyDescent="0.25">
      <c r="B334" s="218" t="s">
        <v>4256</v>
      </c>
      <c r="C334" s="214" t="s">
        <v>7550</v>
      </c>
      <c r="D334" s="214" t="s">
        <v>7929</v>
      </c>
      <c r="E334" s="216">
        <f t="shared" si="5"/>
        <v>739059</v>
      </c>
      <c r="F334" s="215">
        <v>739059</v>
      </c>
      <c r="G334" s="215"/>
      <c r="H334" s="212"/>
      <c r="I334" s="335" t="str">
        <f>IFERROR(VLOOKUP($B334,'IA NARUC Table'!$B:$G,4,FALSE),"")</f>
        <v>Income Taxes</v>
      </c>
      <c r="J334" s="336" t="str">
        <f>IFERROR(VLOOKUP($B334,'IA NARUC Table'!$B:$G,5,FALSE),"")</f>
        <v>State Income Tax</v>
      </c>
      <c r="K334" s="336" t="s">
        <v>7926</v>
      </c>
    </row>
    <row r="335" spans="2:11" x14ac:dyDescent="0.25">
      <c r="B335" s="218" t="s">
        <v>4255</v>
      </c>
      <c r="C335" s="214" t="s">
        <v>7551</v>
      </c>
      <c r="D335" s="214" t="s">
        <v>7931</v>
      </c>
      <c r="E335" s="216">
        <f t="shared" si="5"/>
        <v>325</v>
      </c>
      <c r="F335" s="215">
        <v>325</v>
      </c>
      <c r="G335" s="215"/>
      <c r="H335" s="213"/>
      <c r="I335" s="335" t="str">
        <f>IFERROR(VLOOKUP($B335,'IA NARUC Table'!$B:$G,4,FALSE),"")</f>
        <v>Income Taxes</v>
      </c>
      <c r="J335" s="336" t="str">
        <f>IFERROR(VLOOKUP($B335,'IA NARUC Table'!$B:$G,5,FALSE),"")</f>
        <v>Investment Tax Credit</v>
      </c>
      <c r="K335" s="336" t="s">
        <v>7930</v>
      </c>
    </row>
    <row r="336" spans="2:11" x14ac:dyDescent="0.25">
      <c r="B336" s="218" t="s">
        <v>4254</v>
      </c>
      <c r="C336" s="214" t="s">
        <v>7551</v>
      </c>
      <c r="D336" s="214" t="s">
        <v>7932</v>
      </c>
      <c r="E336" s="216">
        <f t="shared" si="5"/>
        <v>-2156</v>
      </c>
      <c r="F336" s="215">
        <v>-2156</v>
      </c>
      <c r="G336" s="215"/>
      <c r="H336" s="213"/>
      <c r="I336" s="335" t="str">
        <f>IFERROR(VLOOKUP($B336,'IA NARUC Table'!$B:$G,4,FALSE),"")</f>
        <v>Income Taxes</v>
      </c>
      <c r="J336" s="336" t="str">
        <f>IFERROR(VLOOKUP($B336,'IA NARUC Table'!$B:$G,5,FALSE),"")</f>
        <v>Investment Tax Credit</v>
      </c>
      <c r="K336" s="336" t="s">
        <v>7930</v>
      </c>
    </row>
    <row r="337" spans="2:11" x14ac:dyDescent="0.25">
      <c r="B337" s="218" t="s">
        <v>4253</v>
      </c>
      <c r="C337" s="214" t="s">
        <v>7551</v>
      </c>
      <c r="D337" s="214" t="s">
        <v>7933</v>
      </c>
      <c r="E337" s="216">
        <f t="shared" si="5"/>
        <v>-3444</v>
      </c>
      <c r="F337" s="215">
        <v>-3444</v>
      </c>
      <c r="G337" s="215"/>
      <c r="H337" s="213"/>
      <c r="I337" s="335" t="str">
        <f>IFERROR(VLOOKUP($B337,'IA NARUC Table'!$B:$G,4,FALSE),"")</f>
        <v>Income Taxes</v>
      </c>
      <c r="J337" s="336" t="str">
        <f>IFERROR(VLOOKUP($B337,'IA NARUC Table'!$B:$G,5,FALSE),"")</f>
        <v>Investment Tax Credit</v>
      </c>
      <c r="K337" s="336" t="s">
        <v>7930</v>
      </c>
    </row>
    <row r="338" spans="2:11" x14ac:dyDescent="0.25">
      <c r="B338" s="218" t="s">
        <v>4307</v>
      </c>
      <c r="C338" s="214" t="s">
        <v>7541</v>
      </c>
      <c r="D338" s="214" t="s">
        <v>7935</v>
      </c>
      <c r="E338" s="216">
        <f t="shared" si="5"/>
        <v>3030984</v>
      </c>
      <c r="F338" s="215">
        <v>3030984</v>
      </c>
      <c r="G338" s="215"/>
      <c r="H338" s="213"/>
      <c r="I338" s="335" t="str">
        <f>IFERROR(VLOOKUP($B338,'IA NARUC Table'!$B:$G,4,FALSE),"")</f>
        <v>Taxes Other Than Income</v>
      </c>
      <c r="J338" s="336" t="str">
        <f>IFERROR(VLOOKUP($B338,'IA NARUC Table'!$B:$G,5,FALSE),"")</f>
        <v>Property Taxes</v>
      </c>
      <c r="K338" s="336" t="s">
        <v>7934</v>
      </c>
    </row>
    <row r="339" spans="2:11" x14ac:dyDescent="0.25">
      <c r="B339" s="218" t="s">
        <v>4304</v>
      </c>
      <c r="C339" s="214" t="s">
        <v>7543</v>
      </c>
      <c r="D339" s="214" t="s">
        <v>7936</v>
      </c>
      <c r="E339" s="216">
        <f t="shared" si="5"/>
        <v>2352.2995854159258</v>
      </c>
      <c r="F339" s="215">
        <v>2352.2995854159258</v>
      </c>
      <c r="G339" s="215"/>
      <c r="H339" s="213"/>
      <c r="I339" s="335" t="str">
        <f>IFERROR(VLOOKUP($B339,'IA NARUC Table'!$B:$G,4,FALSE),"")</f>
        <v>Taxes Other Than Income</v>
      </c>
      <c r="J339" s="336" t="str">
        <f>IFERROR(VLOOKUP($B339,'IA NARUC Table'!$B:$G,5,FALSE),"")</f>
        <v>Payroll Taxes</v>
      </c>
      <c r="K339" s="336" t="s">
        <v>7934</v>
      </c>
    </row>
    <row r="340" spans="2:11" x14ac:dyDescent="0.25">
      <c r="B340" s="218" t="s">
        <v>4303</v>
      </c>
      <c r="C340" s="214" t="s">
        <v>7543</v>
      </c>
      <c r="D340" s="214" t="s">
        <v>7937</v>
      </c>
      <c r="E340" s="216">
        <f t="shared" si="5"/>
        <v>0</v>
      </c>
      <c r="F340" s="215">
        <v>0</v>
      </c>
      <c r="G340" s="215"/>
      <c r="H340" s="213"/>
      <c r="I340" s="335" t="str">
        <f>IFERROR(VLOOKUP($B340,'IA NARUC Table'!$B:$G,4,FALSE),"")</f>
        <v>Taxes Other Than Income</v>
      </c>
      <c r="J340" s="336" t="str">
        <f>IFERROR(VLOOKUP($B340,'IA NARUC Table'!$B:$G,5,FALSE),"")</f>
        <v>Payroll Taxes</v>
      </c>
      <c r="K340" s="336" t="s">
        <v>7934</v>
      </c>
    </row>
    <row r="341" spans="2:11" x14ac:dyDescent="0.25">
      <c r="B341" s="218" t="s">
        <v>4302</v>
      </c>
      <c r="C341" s="214" t="s">
        <v>7543</v>
      </c>
      <c r="D341" s="214" t="s">
        <v>7938</v>
      </c>
      <c r="E341" s="216">
        <f t="shared" si="5"/>
        <v>483088.17250000004</v>
      </c>
      <c r="F341" s="215">
        <v>483088.17250000004</v>
      </c>
      <c r="G341" s="215"/>
      <c r="H341" s="213"/>
      <c r="I341" s="335" t="str">
        <f>IFERROR(VLOOKUP($B341,'IA NARUC Table'!$B:$G,4,FALSE),"")</f>
        <v>Taxes Other Than Income</v>
      </c>
      <c r="J341" s="336" t="str">
        <f>IFERROR(VLOOKUP($B341,'IA NARUC Table'!$B:$G,5,FALSE),"")</f>
        <v>Payroll Taxes</v>
      </c>
      <c r="K341" s="336" t="s">
        <v>7934</v>
      </c>
    </row>
    <row r="342" spans="2:11" x14ac:dyDescent="0.25">
      <c r="B342" s="218" t="s">
        <v>4301</v>
      </c>
      <c r="C342" s="214" t="s">
        <v>7543</v>
      </c>
      <c r="D342" s="214" t="s">
        <v>7939</v>
      </c>
      <c r="E342" s="216">
        <f t="shared" si="5"/>
        <v>-139623.77267115976</v>
      </c>
      <c r="F342" s="215">
        <v>-139623.77267115976</v>
      </c>
      <c r="G342" s="215"/>
      <c r="H342" s="213"/>
      <c r="I342" s="335" t="str">
        <f>IFERROR(VLOOKUP($B342,'IA NARUC Table'!$B:$G,4,FALSE),"")</f>
        <v>Taxes Other Than Income</v>
      </c>
      <c r="J342" s="336" t="str">
        <f>IFERROR(VLOOKUP($B342,'IA NARUC Table'!$B:$G,5,FALSE),"")</f>
        <v>Payroll Taxes</v>
      </c>
      <c r="K342" s="336" t="s">
        <v>7934</v>
      </c>
    </row>
    <row r="343" spans="2:11" x14ac:dyDescent="0.25">
      <c r="B343" s="218" t="s">
        <v>4300</v>
      </c>
      <c r="C343" s="214" t="s">
        <v>7543</v>
      </c>
      <c r="D343" s="214" t="s">
        <v>7940</v>
      </c>
      <c r="E343" s="216">
        <f t="shared" si="5"/>
        <v>3220.2981324344055</v>
      </c>
      <c r="F343" s="215">
        <v>3220.2981324344055</v>
      </c>
      <c r="G343" s="215"/>
      <c r="H343" s="213"/>
      <c r="I343" s="335" t="str">
        <f>IFERROR(VLOOKUP($B343,'IA NARUC Table'!$B:$G,4,FALSE),"")</f>
        <v>Taxes Other Than Income</v>
      </c>
      <c r="J343" s="336" t="str">
        <f>IFERROR(VLOOKUP($B343,'IA NARUC Table'!$B:$G,5,FALSE),"")</f>
        <v>Payroll Taxes</v>
      </c>
      <c r="K343" s="336" t="s">
        <v>7934</v>
      </c>
    </row>
    <row r="344" spans="2:11" x14ac:dyDescent="0.25">
      <c r="B344" s="218" t="s">
        <v>4299</v>
      </c>
      <c r="C344" s="214" t="s">
        <v>7543</v>
      </c>
      <c r="D344" s="214" t="s">
        <v>7941</v>
      </c>
      <c r="E344" s="216">
        <f t="shared" si="5"/>
        <v>0</v>
      </c>
      <c r="F344" s="215">
        <v>0</v>
      </c>
      <c r="G344" s="215"/>
      <c r="H344" s="213"/>
      <c r="I344" s="335" t="str">
        <f>IFERROR(VLOOKUP($B344,'IA NARUC Table'!$B:$G,4,FALSE),"")</f>
        <v>Taxes Other Than Income</v>
      </c>
      <c r="J344" s="336" t="str">
        <f>IFERROR(VLOOKUP($B344,'IA NARUC Table'!$B:$G,5,FALSE),"")</f>
        <v>Payroll Taxes</v>
      </c>
      <c r="K344" s="336" t="s">
        <v>7934</v>
      </c>
    </row>
    <row r="345" spans="2:11" x14ac:dyDescent="0.25">
      <c r="B345" s="218" t="s">
        <v>4292</v>
      </c>
      <c r="C345" s="214" t="s">
        <v>7544</v>
      </c>
      <c r="D345" s="214" t="s">
        <v>7942</v>
      </c>
      <c r="E345" s="216">
        <f t="shared" si="5"/>
        <v>8550</v>
      </c>
      <c r="F345" s="215">
        <v>8550</v>
      </c>
      <c r="G345" s="215"/>
      <c r="H345" s="213"/>
      <c r="I345" s="335" t="str">
        <f>IFERROR(VLOOKUP($B345,'IA NARUC Table'!$B:$G,4,FALSE),"")</f>
        <v>Taxes Other Than Income</v>
      </c>
      <c r="J345" s="336" t="str">
        <f>IFERROR(VLOOKUP($B345,'IA NARUC Table'!$B:$G,5,FALSE),"")</f>
        <v>Other Taxes</v>
      </c>
      <c r="K345" s="336" t="s">
        <v>7934</v>
      </c>
    </row>
    <row r="346" spans="2:11" x14ac:dyDescent="0.25">
      <c r="B346" s="218" t="s">
        <v>4290</v>
      </c>
      <c r="C346" s="214" t="s">
        <v>7545</v>
      </c>
      <c r="D346" s="214" t="s">
        <v>7943</v>
      </c>
      <c r="E346" s="216">
        <f t="shared" si="5"/>
        <v>105132</v>
      </c>
      <c r="F346" s="215">
        <v>105132</v>
      </c>
      <c r="G346" s="215"/>
      <c r="H346" s="213"/>
      <c r="I346" s="335" t="str">
        <f>IFERROR(VLOOKUP($B346,'IA NARUC Table'!$B:$G,4,FALSE),"")</f>
        <v>Taxes Other Than Income</v>
      </c>
      <c r="J346" s="336" t="str">
        <f>IFERROR(VLOOKUP($B346,'IA NARUC Table'!$B:$G,5,FALSE),"")</f>
        <v>Utility Reg Assessment</v>
      </c>
      <c r="K346" s="336" t="s">
        <v>7934</v>
      </c>
    </row>
    <row r="347" spans="2:11" x14ac:dyDescent="0.25">
      <c r="B347" s="218" t="s">
        <v>4376</v>
      </c>
      <c r="C347" s="214" t="s">
        <v>7522</v>
      </c>
      <c r="D347" s="214" t="s">
        <v>7945</v>
      </c>
      <c r="E347" s="216">
        <f t="shared" si="5"/>
        <v>0</v>
      </c>
      <c r="F347" s="215">
        <v>0</v>
      </c>
      <c r="G347" s="215"/>
      <c r="H347" s="213"/>
      <c r="I347" s="335" t="str">
        <f>IFERROR(VLOOKUP($B347,'IA NARUC Table'!$B:$G,4,FALSE),"")</f>
        <v>Other Expenses</v>
      </c>
      <c r="J347" s="336">
        <f>IFERROR(VLOOKUP($B347,'IA NARUC Table'!$B:$G,5,FALSE),"")</f>
        <v>0</v>
      </c>
      <c r="K347" s="336" t="s">
        <v>7944</v>
      </c>
    </row>
    <row r="348" spans="2:11" x14ac:dyDescent="0.25">
      <c r="B348" s="218" t="s">
        <v>4250</v>
      </c>
      <c r="C348" s="214" t="s">
        <v>7552</v>
      </c>
      <c r="D348" s="214" t="s">
        <v>7947</v>
      </c>
      <c r="E348" s="216">
        <f t="shared" si="5"/>
        <v>0</v>
      </c>
      <c r="F348" s="215">
        <v>0</v>
      </c>
      <c r="G348" s="215"/>
      <c r="H348" s="213"/>
      <c r="I348" s="335" t="str">
        <f>IFERROR(VLOOKUP($B348,'IA NARUC Table'!$B:$G,4,FALSE),"")</f>
        <v>Other Expenses</v>
      </c>
      <c r="J348" s="336">
        <f>IFERROR(VLOOKUP($B348,'IA NARUC Table'!$B:$G,5,FALSE),"")</f>
        <v>0</v>
      </c>
      <c r="K348" s="336" t="s">
        <v>7946</v>
      </c>
    </row>
    <row r="349" spans="2:11" x14ac:dyDescent="0.25">
      <c r="B349" s="218" t="s">
        <v>4244</v>
      </c>
      <c r="C349" s="214" t="s">
        <v>7554</v>
      </c>
      <c r="D349" s="214" t="s">
        <v>7949</v>
      </c>
      <c r="E349" s="216">
        <f t="shared" si="5"/>
        <v>0</v>
      </c>
      <c r="F349" s="215">
        <v>0</v>
      </c>
      <c r="G349" s="215"/>
      <c r="H349" s="213"/>
      <c r="I349" s="335" t="str">
        <f>IFERROR(VLOOKUP($B349,'IA NARUC Table'!$B:$G,4,FALSE),"")</f>
        <v>Other Expenses</v>
      </c>
      <c r="J349" s="336">
        <f>IFERROR(VLOOKUP($B349,'IA NARUC Table'!$B:$G,5,FALSE),"")</f>
        <v>0</v>
      </c>
      <c r="K349" s="336" t="s">
        <v>7948</v>
      </c>
    </row>
    <row r="350" spans="2:11" x14ac:dyDescent="0.25">
      <c r="B350" s="218" t="s">
        <v>4243</v>
      </c>
      <c r="C350" s="214" t="s">
        <v>7555</v>
      </c>
      <c r="D350" s="214" t="s">
        <v>7950</v>
      </c>
      <c r="E350" s="216">
        <f t="shared" si="5"/>
        <v>0</v>
      </c>
      <c r="F350" s="215">
        <v>0</v>
      </c>
      <c r="G350" s="215"/>
      <c r="H350" s="213"/>
      <c r="I350" s="335" t="str">
        <f>IFERROR(VLOOKUP($B350,'IA NARUC Table'!$B:$G,4,FALSE),"")</f>
        <v>Other Expenses</v>
      </c>
      <c r="J350" s="336">
        <f>IFERROR(VLOOKUP($B350,'IA NARUC Table'!$B:$G,5,FALSE),"")</f>
        <v>0</v>
      </c>
      <c r="K350" s="336" t="s">
        <v>7948</v>
      </c>
    </row>
    <row r="351" spans="2:11" x14ac:dyDescent="0.25">
      <c r="B351" s="218" t="s">
        <v>4241</v>
      </c>
      <c r="C351" s="214" t="s">
        <v>7556</v>
      </c>
      <c r="D351" s="214" t="s">
        <v>7951</v>
      </c>
      <c r="E351" s="216">
        <f t="shared" si="5"/>
        <v>0</v>
      </c>
      <c r="F351" s="215">
        <v>0</v>
      </c>
      <c r="G351" s="215"/>
      <c r="H351" s="213"/>
      <c r="I351" s="335" t="str">
        <f>IFERROR(VLOOKUP($B351,'IA NARUC Table'!$B:$G,4,FALSE),"")</f>
        <v>Other Expenses</v>
      </c>
      <c r="J351" s="336">
        <f>IFERROR(VLOOKUP($B351,'IA NARUC Table'!$B:$G,5,FALSE),"")</f>
        <v>0</v>
      </c>
      <c r="K351" s="336" t="s">
        <v>7948</v>
      </c>
    </row>
    <row r="352" spans="2:11" x14ac:dyDescent="0.25">
      <c r="B352" s="218" t="s">
        <v>4230</v>
      </c>
      <c r="C352" s="214" t="s">
        <v>7522</v>
      </c>
      <c r="D352" s="214" t="s">
        <v>7952</v>
      </c>
      <c r="E352" s="216">
        <f t="shared" si="5"/>
        <v>0</v>
      </c>
      <c r="F352" s="215">
        <v>0</v>
      </c>
      <c r="G352" s="215"/>
      <c r="H352" s="213"/>
      <c r="I352" s="335" t="str">
        <f>IFERROR(VLOOKUP($B352,'IA NARUC Table'!$B:$G,4,FALSE),"")</f>
        <v>Other Expenses</v>
      </c>
      <c r="J352" s="336">
        <f>IFERROR(VLOOKUP($B352,'IA NARUC Table'!$B:$G,5,FALSE),"")</f>
        <v>0</v>
      </c>
      <c r="K352" s="336" t="s">
        <v>7948</v>
      </c>
    </row>
    <row r="353" spans="2:11" x14ac:dyDescent="0.25">
      <c r="B353" s="218" t="s">
        <v>4207</v>
      </c>
      <c r="C353" s="214" t="s">
        <v>7522</v>
      </c>
      <c r="D353" s="214" t="s">
        <v>7954</v>
      </c>
      <c r="E353" s="216">
        <f t="shared" si="5"/>
        <v>0</v>
      </c>
      <c r="F353" s="215">
        <v>0</v>
      </c>
      <c r="G353" s="215"/>
      <c r="H353" s="213"/>
      <c r="I353" s="335" t="str">
        <f>IFERROR(VLOOKUP($B353,'IA NARUC Table'!$B:$G,4,FALSE),"")</f>
        <v>Other Expenses</v>
      </c>
      <c r="J353" s="336">
        <f>IFERROR(VLOOKUP($B353,'IA NARUC Table'!$B:$G,5,FALSE),"")</f>
        <v>0</v>
      </c>
      <c r="K353" s="336" t="s">
        <v>7953</v>
      </c>
    </row>
    <row r="354" spans="2:11" x14ac:dyDescent="0.25">
      <c r="B354" s="218" t="s">
        <v>4271</v>
      </c>
      <c r="C354" s="214" t="s">
        <v>7548</v>
      </c>
      <c r="D354" s="214" t="s">
        <v>7955</v>
      </c>
      <c r="E354" s="216">
        <f t="shared" si="5"/>
        <v>0</v>
      </c>
      <c r="F354" s="215">
        <v>0</v>
      </c>
      <c r="G354" s="215"/>
      <c r="H354" s="213"/>
      <c r="I354" s="335" t="str">
        <f>IFERROR(VLOOKUP($B354,'IA NARUC Table'!$B:$G,4,FALSE),"")</f>
        <v>Income Taxes</v>
      </c>
      <c r="J354" s="336" t="str">
        <f>IFERROR(VLOOKUP($B354,'IA NARUC Table'!$B:$G,5,FALSE),"")</f>
        <v>Federal Income Tax</v>
      </c>
      <c r="K354" s="336" t="s">
        <v>7916</v>
      </c>
    </row>
    <row r="355" spans="2:11" x14ac:dyDescent="0.25">
      <c r="B355" s="218" t="s">
        <v>4269</v>
      </c>
      <c r="C355" s="214" t="s">
        <v>7548</v>
      </c>
      <c r="D355" s="214" t="s">
        <v>7956</v>
      </c>
      <c r="E355" s="216">
        <f t="shared" si="5"/>
        <v>0</v>
      </c>
      <c r="F355" s="215">
        <v>0</v>
      </c>
      <c r="G355" s="215"/>
      <c r="H355" s="213"/>
      <c r="I355" s="335" t="str">
        <f>IFERROR(VLOOKUP($B355,'IA NARUC Table'!$B:$G,4,FALSE),"")</f>
        <v>Income Taxes</v>
      </c>
      <c r="J355" s="336" t="str">
        <f>IFERROR(VLOOKUP($B355,'IA NARUC Table'!$B:$G,5,FALSE),"")</f>
        <v>State Income Tax</v>
      </c>
      <c r="K355" s="336" t="s">
        <v>7919</v>
      </c>
    </row>
    <row r="356" spans="2:11" x14ac:dyDescent="0.25">
      <c r="B356" s="218" t="s">
        <v>4205</v>
      </c>
      <c r="C356" s="214" t="s">
        <v>7557</v>
      </c>
      <c r="D356" s="214" t="s">
        <v>7958</v>
      </c>
      <c r="E356" s="216">
        <f t="shared" si="5"/>
        <v>0</v>
      </c>
      <c r="F356" s="215">
        <v>0</v>
      </c>
      <c r="G356" s="215"/>
      <c r="H356" s="213"/>
      <c r="I356" s="335" t="str">
        <f>IFERROR(VLOOKUP($B356,'IA NARUC Table'!$B:$G,4,FALSE),"")</f>
        <v>Other Expenses</v>
      </c>
      <c r="J356" s="336">
        <f>IFERROR(VLOOKUP($B356,'IA NARUC Table'!$B:$G,5,FALSE),"")</f>
        <v>0</v>
      </c>
      <c r="K356" s="336" t="s">
        <v>7957</v>
      </c>
    </row>
    <row r="357" spans="2:11" x14ac:dyDescent="0.25">
      <c r="B357" s="218" t="s">
        <v>4202</v>
      </c>
      <c r="C357" s="214" t="s">
        <v>7557</v>
      </c>
      <c r="D357" s="214" t="s">
        <v>7959</v>
      </c>
      <c r="E357" s="216">
        <f t="shared" si="5"/>
        <v>0</v>
      </c>
      <c r="F357" s="215">
        <v>0</v>
      </c>
      <c r="G357" s="215"/>
      <c r="H357" s="213"/>
      <c r="I357" s="335" t="str">
        <f>IFERROR(VLOOKUP($B357,'IA NARUC Table'!$B:$G,4,FALSE),"")</f>
        <v>Other Expenses</v>
      </c>
      <c r="J357" s="336">
        <f>IFERROR(VLOOKUP($B357,'IA NARUC Table'!$B:$G,5,FALSE),"")</f>
        <v>0</v>
      </c>
      <c r="K357" s="336" t="s">
        <v>7957</v>
      </c>
    </row>
    <row r="358" spans="2:11" x14ac:dyDescent="0.25">
      <c r="B358" s="218" t="s">
        <v>4201</v>
      </c>
      <c r="C358" s="214" t="s">
        <v>7557</v>
      </c>
      <c r="D358" s="214" t="s">
        <v>7960</v>
      </c>
      <c r="E358" s="216">
        <f t="shared" si="5"/>
        <v>0</v>
      </c>
      <c r="F358" s="215">
        <v>0</v>
      </c>
      <c r="G358" s="215"/>
      <c r="H358" s="213"/>
      <c r="I358" s="335" t="str">
        <f>IFERROR(VLOOKUP($B358,'IA NARUC Table'!$B:$G,4,FALSE),"")</f>
        <v>Other Expenses</v>
      </c>
      <c r="J358" s="336">
        <f>IFERROR(VLOOKUP($B358,'IA NARUC Table'!$B:$G,5,FALSE),"")</f>
        <v>0</v>
      </c>
      <c r="K358" s="336" t="s">
        <v>7957</v>
      </c>
    </row>
    <row r="359" spans="2:11" x14ac:dyDescent="0.25">
      <c r="B359" s="218" t="s">
        <v>4198</v>
      </c>
      <c r="C359" s="214" t="s">
        <v>7557</v>
      </c>
      <c r="D359" s="214" t="s">
        <v>7961</v>
      </c>
      <c r="E359" s="216">
        <f t="shared" si="5"/>
        <v>0</v>
      </c>
      <c r="F359" s="215">
        <v>0</v>
      </c>
      <c r="G359" s="215"/>
      <c r="H359" s="26"/>
      <c r="I359" s="335" t="str">
        <f>IFERROR(VLOOKUP($B359,'IA NARUC Table'!$B:$G,4,FALSE),"")</f>
        <v>Other Expenses</v>
      </c>
      <c r="J359" s="336">
        <f>IFERROR(VLOOKUP($B359,'IA NARUC Table'!$B:$G,5,FALSE),"")</f>
        <v>0</v>
      </c>
      <c r="K359" s="336" t="s">
        <v>7957</v>
      </c>
    </row>
    <row r="360" spans="2:11" x14ac:dyDescent="0.25">
      <c r="B360" s="218" t="s">
        <v>4182</v>
      </c>
      <c r="C360" s="214" t="s">
        <v>7559</v>
      </c>
      <c r="D360" s="214" t="s">
        <v>7963</v>
      </c>
      <c r="E360" s="216">
        <f t="shared" si="5"/>
        <v>0</v>
      </c>
      <c r="F360" s="215">
        <v>0</v>
      </c>
      <c r="G360" s="215"/>
      <c r="H360" s="217"/>
      <c r="I360" s="335" t="str">
        <f>IFERROR(VLOOKUP($B360,'IA NARUC Table'!$B:$G,4,FALSE),"")</f>
        <v>Other Expenses</v>
      </c>
      <c r="J360" s="336">
        <f>IFERROR(VLOOKUP($B360,'IA NARUC Table'!$B:$G,5,FALSE),"")</f>
        <v>0</v>
      </c>
      <c r="K360" s="336" t="s">
        <v>7962</v>
      </c>
    </row>
    <row r="361" spans="2:11" x14ac:dyDescent="0.25">
      <c r="B361" s="218" t="s">
        <v>4166</v>
      </c>
      <c r="C361" s="214" t="s">
        <v>7552</v>
      </c>
      <c r="D361" s="214" t="s">
        <v>7965</v>
      </c>
      <c r="E361" s="216">
        <f t="shared" si="5"/>
        <v>0</v>
      </c>
      <c r="F361" s="215">
        <v>0</v>
      </c>
      <c r="G361" s="215"/>
      <c r="H361" s="217"/>
      <c r="I361" s="335" t="str">
        <f>IFERROR(VLOOKUP($B361,'IA NARUC Table'!$B:$G,4,FALSE),"")</f>
        <v>Other Expenses</v>
      </c>
      <c r="J361" s="336">
        <f>IFERROR(VLOOKUP($B361,'IA NARUC Table'!$B:$G,5,FALSE),"")</f>
        <v>0</v>
      </c>
      <c r="K361" s="336" t="s">
        <v>7964</v>
      </c>
    </row>
    <row r="362" spans="2:11" x14ac:dyDescent="0.25">
      <c r="B362" s="218" t="s">
        <v>4172</v>
      </c>
      <c r="C362" s="214" t="s">
        <v>7561</v>
      </c>
      <c r="D362" s="214" t="s">
        <v>7967</v>
      </c>
      <c r="E362" s="216">
        <f t="shared" si="5"/>
        <v>0</v>
      </c>
      <c r="F362" s="215">
        <v>0</v>
      </c>
      <c r="G362" s="215"/>
      <c r="H362" s="217"/>
      <c r="I362" s="335" t="str">
        <f>IFERROR(VLOOKUP($B362,'IA NARUC Table'!$B:$G,4,FALSE),"")</f>
        <v>Other Expenses</v>
      </c>
      <c r="J362" s="336">
        <f>IFERROR(VLOOKUP($B362,'IA NARUC Table'!$B:$G,5,FALSE),"")</f>
        <v>0</v>
      </c>
      <c r="K362" s="336" t="s">
        <v>7966</v>
      </c>
    </row>
    <row r="363" spans="2:11" x14ac:dyDescent="0.25">
      <c r="B363" s="218" t="s">
        <v>4169</v>
      </c>
      <c r="C363" s="214" t="s">
        <v>7561</v>
      </c>
      <c r="D363" s="214" t="s">
        <v>7968</v>
      </c>
      <c r="E363" s="216">
        <f t="shared" si="5"/>
        <v>0</v>
      </c>
      <c r="F363" s="215">
        <v>0</v>
      </c>
      <c r="G363" s="215"/>
      <c r="H363" s="26"/>
      <c r="I363" s="335" t="str">
        <f>IFERROR(VLOOKUP($B363,'IA NARUC Table'!$B:$G,4,FALSE),"")</f>
        <v>Other Expenses</v>
      </c>
      <c r="J363" s="336">
        <f>IFERROR(VLOOKUP($B363,'IA NARUC Table'!$B:$G,5,FALSE),"")</f>
        <v>0</v>
      </c>
      <c r="K363" s="336" t="s">
        <v>7966</v>
      </c>
    </row>
    <row r="364" spans="2:11" x14ac:dyDescent="0.25">
      <c r="B364" s="218" t="s">
        <v>4168</v>
      </c>
      <c r="C364" s="214" t="s">
        <v>7561</v>
      </c>
      <c r="D364" s="214" t="s">
        <v>7969</v>
      </c>
      <c r="E364" s="216">
        <f t="shared" si="5"/>
        <v>0</v>
      </c>
      <c r="F364" s="215">
        <v>0</v>
      </c>
      <c r="G364" s="215"/>
      <c r="H364" s="217"/>
      <c r="I364" s="335" t="str">
        <f>IFERROR(VLOOKUP($B364,'IA NARUC Table'!$B:$G,4,FALSE),"")</f>
        <v>Other Expenses</v>
      </c>
      <c r="J364" s="336">
        <f>IFERROR(VLOOKUP($B364,'IA NARUC Table'!$B:$G,5,FALSE),"")</f>
        <v>0</v>
      </c>
      <c r="K364" s="336" t="s">
        <v>7966</v>
      </c>
    </row>
    <row r="365" spans="2:11" x14ac:dyDescent="0.25">
      <c r="B365" s="218" t="s">
        <v>4164</v>
      </c>
      <c r="C365" s="214" t="s">
        <v>7562</v>
      </c>
      <c r="D365" s="214" t="s">
        <v>7971</v>
      </c>
      <c r="E365" s="216">
        <f t="shared" si="5"/>
        <v>0</v>
      </c>
      <c r="F365" s="215">
        <v>0</v>
      </c>
      <c r="G365" s="215"/>
      <c r="H365" s="217"/>
      <c r="I365" s="335" t="str">
        <f>IFERROR(VLOOKUP($B365,'IA NARUC Table'!$B:$G,4,FALSE),"")</f>
        <v>Other Expenses</v>
      </c>
      <c r="J365" s="336">
        <f>IFERROR(VLOOKUP($B365,'IA NARUC Table'!$B:$G,5,FALSE),"")</f>
        <v>0</v>
      </c>
      <c r="K365" s="336" t="s">
        <v>7970</v>
      </c>
    </row>
  </sheetData>
  <autoFilter ref="B6:K365" xr:uid="{1262A439-BDE0-46F9-B505-6A405CA8F494}"/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224B-8F73-49FC-919B-38C76FA39B0C}">
  <sheetPr>
    <tabColor rgb="FF0000FF"/>
  </sheetPr>
  <dimension ref="B3:I41"/>
  <sheetViews>
    <sheetView zoomScale="80" zoomScaleNormal="80" workbookViewId="0">
      <selection activeCell="B6" sqref="B6"/>
    </sheetView>
  </sheetViews>
  <sheetFormatPr defaultRowHeight="15" x14ac:dyDescent="0.25"/>
  <cols>
    <col min="1" max="1" customWidth="true" width="5.28515625" collapsed="false"/>
    <col min="2" max="2" customWidth="true" width="50.28515625" collapsed="false"/>
    <col min="3" max="8" customWidth="true" width="15.85546875" collapsed="false"/>
    <col min="9" max="9" customWidth="true" width="16.0" collapsed="false"/>
  </cols>
  <sheetData>
    <row r="3" spans="2:9" x14ac:dyDescent="0.25">
      <c r="B3" s="1" t="s">
        <v>8242</v>
      </c>
    </row>
    <row r="4" spans="2:9" x14ac:dyDescent="0.25">
      <c r="B4" s="1" t="s">
        <v>8240</v>
      </c>
    </row>
    <row r="5" spans="2:9" x14ac:dyDescent="0.25">
      <c r="B5" s="1" t="s">
        <v>8241</v>
      </c>
    </row>
    <row r="7" spans="2:9" ht="15.75" thickBot="1" x14ac:dyDescent="0.3">
      <c r="C7" s="296" t="s">
        <v>65</v>
      </c>
      <c r="D7" s="296" t="s">
        <v>70</v>
      </c>
      <c r="E7" s="296" t="s">
        <v>66</v>
      </c>
      <c r="F7" s="296" t="s">
        <v>8236</v>
      </c>
      <c r="G7" s="296" t="s">
        <v>7042</v>
      </c>
      <c r="H7" s="296" t="s">
        <v>7043</v>
      </c>
      <c r="I7" s="296" t="s">
        <v>6996</v>
      </c>
    </row>
    <row r="8" spans="2:9" x14ac:dyDescent="0.25">
      <c r="C8" s="288"/>
      <c r="D8" s="288"/>
      <c r="E8" s="288"/>
      <c r="F8" s="288"/>
      <c r="G8" s="288"/>
      <c r="H8" s="288"/>
      <c r="I8" s="288"/>
    </row>
    <row r="9" spans="2:9" x14ac:dyDescent="0.25">
      <c r="B9" s="65" t="s">
        <v>8237</v>
      </c>
      <c r="C9" s="41">
        <f>+'Class Allocators'!B78</f>
        <v>0.45465655077128753</v>
      </c>
      <c r="D9" s="41">
        <f>+'Class Allocators'!C78+'Class Allocators'!F78</f>
        <v>0.17037066418306393</v>
      </c>
      <c r="E9" s="41">
        <f>+'Class Allocators'!D78</f>
        <v>4.5640115791753699E-2</v>
      </c>
      <c r="F9" s="41">
        <f>+'Class Allocators'!E78</f>
        <v>3.4112886809113799E-2</v>
      </c>
      <c r="G9" s="41">
        <f>+'Class Allocators'!G78</f>
        <v>4.8711264103388885E-2</v>
      </c>
      <c r="H9" s="41">
        <f>+'Class Allocators'!H78</f>
        <v>0.2465085183413922</v>
      </c>
      <c r="I9" s="41">
        <f>SUM(C9:H9)</f>
        <v>1</v>
      </c>
    </row>
    <row r="10" spans="2:9" x14ac:dyDescent="0.25">
      <c r="B10" s="289">
        <f>SUM(LinkFromRateBase!J33:J36)</f>
        <v>109542539.5</v>
      </c>
      <c r="C10" s="293">
        <f t="shared" ref="C10:H10" si="0">+$B10*C9</f>
        <v>49804233.171797521</v>
      </c>
      <c r="D10" s="293">
        <f>+$B10*D9</f>
        <v>18662835.210914515</v>
      </c>
      <c r="E10" s="293">
        <f t="shared" si="0"/>
        <v>4999534.1869027531</v>
      </c>
      <c r="F10" s="293">
        <f t="shared" si="0"/>
        <v>3736812.2507463773</v>
      </c>
      <c r="G10" s="293">
        <f t="shared" si="0"/>
        <v>5335955.5721404087</v>
      </c>
      <c r="H10" s="293">
        <f t="shared" si="0"/>
        <v>27003169.10749843</v>
      </c>
      <c r="I10" s="294">
        <f>SUM(C10:H10)</f>
        <v>109542539.5</v>
      </c>
    </row>
    <row r="11" spans="2:9" x14ac:dyDescent="0.25">
      <c r="B11" s="65"/>
      <c r="C11" s="74"/>
      <c r="D11" s="74"/>
      <c r="E11" s="74"/>
      <c r="F11" s="74"/>
      <c r="G11" s="74"/>
      <c r="H11" s="74"/>
      <c r="I11" s="74"/>
    </row>
    <row r="12" spans="2:9" x14ac:dyDescent="0.25">
      <c r="B12" s="65" t="s">
        <v>8238</v>
      </c>
      <c r="C12" s="295">
        <f>+'Class Allocators'!B120</f>
        <v>0.80198163046057802</v>
      </c>
      <c r="D12" s="295">
        <f>+'Class Allocators'!C120+'Class Allocators'!F120</f>
        <v>0.10469769577154944</v>
      </c>
      <c r="E12" s="295">
        <f>+'Class Allocators'!D120</f>
        <v>3.6628439091102539E-3</v>
      </c>
      <c r="F12" s="295">
        <f>+'Class Allocators'!E120</f>
        <v>8.0023238505088339E-3</v>
      </c>
      <c r="G12" s="295">
        <f>+'Class Allocators'!G120</f>
        <v>8.1655506008253415E-2</v>
      </c>
      <c r="H12" s="295">
        <f>+'Class Allocators'!H120</f>
        <v>0</v>
      </c>
      <c r="I12" s="295">
        <f>SUM(C12:H12)</f>
        <v>0.99999999999999989</v>
      </c>
    </row>
    <row r="13" spans="2:9" x14ac:dyDescent="0.25">
      <c r="B13" s="289">
        <f>+LinkFromRateBase!J37</f>
        <v>4202409</v>
      </c>
      <c r="C13" s="294">
        <f>+$B13*C12</f>
        <v>3370254.8216822073</v>
      </c>
      <c r="D13" s="294">
        <f t="shared" ref="D13:I13" si="1">+$B13*D12</f>
        <v>439982.53898962133</v>
      </c>
      <c r="E13" s="294">
        <f t="shared" si="1"/>
        <v>15392.768209240114</v>
      </c>
      <c r="F13" s="294">
        <f t="shared" si="1"/>
        <v>33629.037770292976</v>
      </c>
      <c r="G13" s="294">
        <f t="shared" si="1"/>
        <v>343149.8333486382</v>
      </c>
      <c r="H13" s="294">
        <f t="shared" si="1"/>
        <v>0</v>
      </c>
      <c r="I13" s="294">
        <f t="shared" si="1"/>
        <v>4202408.9999999991</v>
      </c>
    </row>
    <row r="14" spans="2:9" x14ac:dyDescent="0.25">
      <c r="B14" s="290"/>
      <c r="C14" s="74"/>
      <c r="D14" s="74"/>
      <c r="E14" s="74"/>
      <c r="F14" s="74"/>
      <c r="G14" s="74"/>
      <c r="H14" s="74"/>
      <c r="I14" s="74"/>
    </row>
    <row r="15" spans="2:9" x14ac:dyDescent="0.25">
      <c r="B15" s="65" t="s">
        <v>8239</v>
      </c>
      <c r="C15" s="295">
        <f>+'Class Allocators'!B84</f>
        <v>0</v>
      </c>
      <c r="D15" s="295">
        <f>+'Class Allocators'!C84+'Class Allocators'!F84</f>
        <v>0</v>
      </c>
      <c r="E15" s="295">
        <f>+'Class Allocators'!D84</f>
        <v>0</v>
      </c>
      <c r="F15" s="295">
        <f>+'Class Allocators'!E84</f>
        <v>0</v>
      </c>
      <c r="G15" s="295">
        <f>+'Class Allocators'!G84</f>
        <v>0</v>
      </c>
      <c r="H15" s="295">
        <f>+'Class Allocators'!H84</f>
        <v>1</v>
      </c>
      <c r="I15" s="295">
        <f>SUM(C15:H15)</f>
        <v>1</v>
      </c>
    </row>
    <row r="16" spans="2:9" x14ac:dyDescent="0.25">
      <c r="B16" s="289">
        <f>+LinkFromRateBase!J43</f>
        <v>11343121.5</v>
      </c>
      <c r="C16" s="294">
        <f>+$B16*C15</f>
        <v>0</v>
      </c>
      <c r="D16" s="294">
        <f t="shared" ref="D16:I16" si="2">+$B16*D15</f>
        <v>0</v>
      </c>
      <c r="E16" s="294">
        <f t="shared" si="2"/>
        <v>0</v>
      </c>
      <c r="F16" s="294">
        <f t="shared" si="2"/>
        <v>0</v>
      </c>
      <c r="G16" s="294">
        <f t="shared" si="2"/>
        <v>0</v>
      </c>
      <c r="H16" s="294">
        <f t="shared" si="2"/>
        <v>11343121.5</v>
      </c>
      <c r="I16" s="294">
        <f t="shared" si="2"/>
        <v>11343121.5</v>
      </c>
    </row>
    <row r="17" spans="2:9" x14ac:dyDescent="0.25">
      <c r="B17" s="65"/>
      <c r="C17" s="74"/>
      <c r="D17" s="74"/>
      <c r="E17" s="74"/>
      <c r="F17" s="74"/>
      <c r="G17" s="74"/>
      <c r="H17" s="74"/>
      <c r="I17" s="74"/>
    </row>
    <row r="18" spans="2:9" x14ac:dyDescent="0.25">
      <c r="B18" s="65" t="s">
        <v>8243</v>
      </c>
      <c r="C18" s="295">
        <f>+'Class Allocators'!B9</f>
        <v>0.51382754704349531</v>
      </c>
      <c r="D18" s="295">
        <f>+'Class Allocators'!C9+'Class Allocators'!F9</f>
        <v>0.28174698098820622</v>
      </c>
      <c r="E18" s="295">
        <f>+'Class Allocators'!D9</f>
        <v>0.17565026585436014</v>
      </c>
      <c r="F18" s="295">
        <f>+'Class Allocators'!E9</f>
        <v>2.877520611393819E-2</v>
      </c>
      <c r="G18" s="295">
        <f>+'Class Allocators'!G9</f>
        <v>0</v>
      </c>
      <c r="H18" s="295">
        <f>+'Class Allocators'!H9</f>
        <v>0</v>
      </c>
      <c r="I18" s="295">
        <f>SUM(C18:H18)</f>
        <v>0.99999999999999978</v>
      </c>
    </row>
    <row r="19" spans="2:9" x14ac:dyDescent="0.25">
      <c r="B19" s="289">
        <f>+LinkFromRateBase!J18</f>
        <v>601432</v>
      </c>
      <c r="C19" s="294">
        <f>+$B19*C18</f>
        <v>309032.32927346346</v>
      </c>
      <c r="D19" s="294">
        <f t="shared" ref="D19" si="3">+$B19*D18</f>
        <v>169451.65026969885</v>
      </c>
      <c r="E19" s="294">
        <f t="shared" ref="E19" si="4">+$B19*E18</f>
        <v>105641.69069331953</v>
      </c>
      <c r="F19" s="294">
        <f t="shared" ref="F19" si="5">+$B19*F18</f>
        <v>17306.329763518075</v>
      </c>
      <c r="G19" s="294">
        <f t="shared" ref="G19" si="6">+$B19*G18</f>
        <v>0</v>
      </c>
      <c r="H19" s="294">
        <f t="shared" ref="H19" si="7">+$B19*H18</f>
        <v>0</v>
      </c>
      <c r="I19" s="294">
        <f t="shared" ref="I19" si="8">+$B19*I18</f>
        <v>601431.99999999988</v>
      </c>
    </row>
    <row r="20" spans="2:9" x14ac:dyDescent="0.25">
      <c r="B20" s="65"/>
      <c r="C20" s="74"/>
      <c r="D20" s="74"/>
      <c r="E20" s="74"/>
      <c r="F20" s="74"/>
      <c r="G20" s="74"/>
      <c r="H20" s="74"/>
      <c r="I20" s="74"/>
    </row>
    <row r="21" spans="2:9" x14ac:dyDescent="0.25">
      <c r="B21" s="65" t="s">
        <v>8244</v>
      </c>
      <c r="C21" s="295">
        <f>+'Class Allocators'!B9</f>
        <v>0.51382754704349531</v>
      </c>
      <c r="D21" s="295">
        <f>+'Class Allocators'!C9+'Class Allocators'!F9</f>
        <v>0.28174698098820622</v>
      </c>
      <c r="E21" s="295">
        <f>+'Class Allocators'!D9</f>
        <v>0.17565026585436014</v>
      </c>
      <c r="F21" s="295">
        <f>+'Class Allocators'!E9</f>
        <v>2.877520611393819E-2</v>
      </c>
      <c r="G21" s="295">
        <f>+'Class Allocators'!G9</f>
        <v>0</v>
      </c>
      <c r="H21" s="295">
        <f>+'Class Allocators'!H9</f>
        <v>0</v>
      </c>
      <c r="I21" s="295">
        <f>SUM(C21:H21)</f>
        <v>0.99999999999999978</v>
      </c>
    </row>
    <row r="22" spans="2:9" x14ac:dyDescent="0.25">
      <c r="B22" s="289">
        <f>+LinkFromRateBase!J19+LinkFromRateBase!J20</f>
        <v>4695063.5</v>
      </c>
      <c r="C22" s="294">
        <f>+$B22*C21</f>
        <v>2412452.9614184476</v>
      </c>
      <c r="D22" s="294">
        <f t="shared" ref="D22" si="9">+$B22*D21</f>
        <v>1322819.9666729209</v>
      </c>
      <c r="E22" s="294">
        <f t="shared" ref="E22" si="10">+$B22*E21</f>
        <v>824689.15197810263</v>
      </c>
      <c r="F22" s="294">
        <f t="shared" ref="F22" si="11">+$B22*F21</f>
        <v>135101.41993052803</v>
      </c>
      <c r="G22" s="294">
        <f t="shared" ref="G22" si="12">+$B22*G21</f>
        <v>0</v>
      </c>
      <c r="H22" s="294">
        <f t="shared" ref="H22" si="13">+$B22*H21</f>
        <v>0</v>
      </c>
      <c r="I22" s="294">
        <f t="shared" ref="I22" si="14">+$B22*I21</f>
        <v>4695063.4999999991</v>
      </c>
    </row>
    <row r="23" spans="2:9" x14ac:dyDescent="0.25">
      <c r="B23" s="65"/>
    </row>
    <row r="24" spans="2:9" ht="15.75" thickBot="1" x14ac:dyDescent="0.3">
      <c r="B24" s="291" t="s">
        <v>6996</v>
      </c>
      <c r="C24" s="292">
        <f>+C10+C13+C16+C19+C22</f>
        <v>55895973.284171641</v>
      </c>
      <c r="D24" s="292">
        <f t="shared" ref="D24:I24" si="15">+D10+D13+D16+D19+D22</f>
        <v>20595089.366846755</v>
      </c>
      <c r="E24" s="292">
        <f t="shared" si="15"/>
        <v>5945257.7977834158</v>
      </c>
      <c r="F24" s="292">
        <f t="shared" si="15"/>
        <v>3922849.0382107166</v>
      </c>
      <c r="G24" s="292">
        <f t="shared" si="15"/>
        <v>5679105.4054890471</v>
      </c>
      <c r="H24" s="292">
        <f t="shared" si="15"/>
        <v>38346290.60749843</v>
      </c>
      <c r="I24" s="292">
        <f t="shared" si="15"/>
        <v>130384565.5</v>
      </c>
    </row>
    <row r="28" spans="2:9" x14ac:dyDescent="0.25">
      <c r="B28" s="65" t="s">
        <v>8245</v>
      </c>
      <c r="C28" s="41">
        <f>+'Class Allocators'!B102</f>
        <v>0.77150272556048427</v>
      </c>
      <c r="D28" s="41">
        <f>+'Class Allocators'!C102+'Class Allocators'!F102</f>
        <v>0.19236103191027401</v>
      </c>
      <c r="E28" s="41">
        <f>+'Class Allocators'!D102</f>
        <v>1.5232515395490731E-2</v>
      </c>
      <c r="F28" s="41">
        <f>+'Class Allocators'!E102</f>
        <v>2.0903727133751014E-2</v>
      </c>
      <c r="I28" s="295">
        <f>SUM(C28:H28)</f>
        <v>1</v>
      </c>
    </row>
    <row r="29" spans="2:9" x14ac:dyDescent="0.25">
      <c r="B29" s="65" t="s">
        <v>8246</v>
      </c>
      <c r="C29" s="41">
        <f>+'Class Allocators'!B9</f>
        <v>0.51382754704349531</v>
      </c>
      <c r="D29" s="41">
        <f>+'Class Allocators'!C9+'Class Allocators'!F9</f>
        <v>0.28174698098820622</v>
      </c>
      <c r="E29" s="41">
        <f>+'Class Allocators'!D9</f>
        <v>0.17565026585436014</v>
      </c>
      <c r="F29" s="41">
        <f>+'Class Allocators'!E9</f>
        <v>2.877520611393819E-2</v>
      </c>
      <c r="I29" s="295">
        <f>SUM(C29:H29)</f>
        <v>0.99999999999999978</v>
      </c>
    </row>
    <row r="30" spans="2:9" x14ac:dyDescent="0.25">
      <c r="B30" s="65"/>
    </row>
    <row r="31" spans="2:9" x14ac:dyDescent="0.25">
      <c r="B31" s="65" t="s">
        <v>8249</v>
      </c>
    </row>
    <row r="32" spans="2:9" x14ac:dyDescent="0.25">
      <c r="B32" s="65" t="s">
        <v>8251</v>
      </c>
      <c r="C32" s="248">
        <f t="shared" ref="C32:F33" si="16">+C28*($G$24*0.25)*0.5</f>
        <v>547680.66238500993</v>
      </c>
      <c r="D32" s="248">
        <f t="shared" si="16"/>
        <v>136554.82201588602</v>
      </c>
      <c r="E32" s="248">
        <f t="shared" si="16"/>
        <v>10813.382565215818</v>
      </c>
      <c r="F32" s="248">
        <f t="shared" si="16"/>
        <v>14839.30872001918</v>
      </c>
      <c r="G32" s="248">
        <f>+G24*0.75</f>
        <v>4259329.0541167855</v>
      </c>
    </row>
    <row r="33" spans="2:9" x14ac:dyDescent="0.25">
      <c r="B33" s="65" t="s">
        <v>8252</v>
      </c>
      <c r="C33" s="248">
        <f t="shared" si="16"/>
        <v>364760.0999879865</v>
      </c>
      <c r="D33" s="248">
        <f t="shared" si="16"/>
        <v>200008.85033879272</v>
      </c>
      <c r="E33" s="248">
        <f t="shared" si="16"/>
        <v>124692.0467861356</v>
      </c>
      <c r="F33" s="248">
        <f t="shared" si="16"/>
        <v>20427.178573215981</v>
      </c>
      <c r="G33" s="248"/>
    </row>
    <row r="34" spans="2:9" x14ac:dyDescent="0.25">
      <c r="B34" s="65"/>
    </row>
    <row r="35" spans="2:9" x14ac:dyDescent="0.25">
      <c r="B35" s="65" t="s">
        <v>8250</v>
      </c>
    </row>
    <row r="36" spans="2:9" x14ac:dyDescent="0.25">
      <c r="B36" s="65" t="s">
        <v>8251</v>
      </c>
      <c r="C36" s="248">
        <f t="shared" ref="C36:F37" si="17">+C28*$H$24*0.5</f>
        <v>14792133.859409718</v>
      </c>
      <c r="D36" s="248">
        <f t="shared" si="17"/>
        <v>3688166.0155948228</v>
      </c>
      <c r="E36" s="248">
        <f t="shared" si="17"/>
        <v>292055.23101934075</v>
      </c>
      <c r="F36" s="248">
        <f t="shared" si="17"/>
        <v>400790.19772533327</v>
      </c>
    </row>
    <row r="37" spans="2:9" x14ac:dyDescent="0.25">
      <c r="B37" s="65" t="s">
        <v>8252</v>
      </c>
      <c r="C37" s="248">
        <f t="shared" si="17"/>
        <v>9851690.2205339707</v>
      </c>
      <c r="D37" s="248">
        <f t="shared" si="17"/>
        <v>5401975.8053795453</v>
      </c>
      <c r="E37" s="248">
        <f t="shared" si="17"/>
        <v>3367768.0698678261</v>
      </c>
      <c r="F37" s="248">
        <f t="shared" si="17"/>
        <v>551711.2079678697</v>
      </c>
    </row>
    <row r="38" spans="2:9" x14ac:dyDescent="0.25">
      <c r="B38" s="65"/>
    </row>
    <row r="39" spans="2:9" ht="15.75" thickBot="1" x14ac:dyDescent="0.3">
      <c r="B39" s="297" t="s">
        <v>8247</v>
      </c>
      <c r="C39" s="292">
        <f>+C24+SUM(C32:C37)</f>
        <v>81452238.126488328</v>
      </c>
      <c r="D39" s="292">
        <f>+D24+SUM(D32:D37)</f>
        <v>30021794.860175803</v>
      </c>
      <c r="E39" s="292">
        <f>+E24+SUM(E32:E37)</f>
        <v>9740586.5280219335</v>
      </c>
      <c r="F39" s="292">
        <f>+F24+SUM(F32:F37)</f>
        <v>4910616.9311971543</v>
      </c>
      <c r="G39" s="292">
        <f>G32</f>
        <v>4259329.0541167855</v>
      </c>
      <c r="I39" s="292">
        <f>SUM(C39:G39)</f>
        <v>130384565.5</v>
      </c>
    </row>
    <row r="40" spans="2:9" x14ac:dyDescent="0.25">
      <c r="B40" s="65"/>
    </row>
    <row r="41" spans="2:9" ht="15.75" thickBot="1" x14ac:dyDescent="0.3">
      <c r="B41" s="297" t="s">
        <v>8248</v>
      </c>
      <c r="C41" s="298">
        <f>+C39/$I39</f>
        <v>0.62470767006918715</v>
      </c>
      <c r="D41" s="298">
        <f>+D39/$I39</f>
        <v>0.23025574188975462</v>
      </c>
      <c r="E41" s="298">
        <f>+E39/$I39</f>
        <v>7.4706591924194696E-2</v>
      </c>
      <c r="F41" s="298">
        <f>+F39/$I39</f>
        <v>3.7662563144386554E-2</v>
      </c>
      <c r="G41" s="298">
        <f>+G39/$I39</f>
        <v>3.2667432972476991E-2</v>
      </c>
      <c r="I41" s="299">
        <f>SUM(C41:G41)</f>
        <v>1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tabColor theme="8" tint="0.79998168889431442"/>
  </sheetPr>
  <dimension ref="A2:J2156"/>
  <sheetViews>
    <sheetView zoomScaleNormal="100" workbookViewId="0">
      <selection activeCell="B6" sqref="B6"/>
    </sheetView>
  </sheetViews>
  <sheetFormatPr defaultColWidth="8.7109375" defaultRowHeight="15" x14ac:dyDescent="0.25"/>
  <cols>
    <col min="1" max="1" bestFit="true" customWidth="true" style="9" width="12.0" collapsed="false"/>
    <col min="2" max="2" bestFit="true" customWidth="true" style="9" width="12.5703125" collapsed="false"/>
    <col min="3" max="3" bestFit="true" customWidth="true" style="9" width="49.42578125" collapsed="false"/>
    <col min="4" max="4" style="338" width="8.7109375" collapsed="false"/>
    <col min="5" max="5" bestFit="true" customWidth="true" style="338" width="22.28515625" collapsed="false"/>
    <col min="6" max="6" bestFit="true" customWidth="true" style="338" width="21.5703125" collapsed="false"/>
    <col min="7" max="7" bestFit="true" customWidth="true" style="338" width="38.0" collapsed="false"/>
    <col min="8" max="8" bestFit="true" customWidth="true" style="9" width="10.0" collapsed="false"/>
    <col min="9" max="9" bestFit="true" customWidth="true" style="9" width="11.0" collapsed="false"/>
    <col min="10" max="10" bestFit="true" customWidth="true" style="9" width="25.42578125" collapsed="false"/>
    <col min="11" max="16384" style="9" width="8.7109375" collapsed="false"/>
  </cols>
  <sheetData>
    <row r="2" spans="1:10" x14ac:dyDescent="0.25">
      <c r="J2" s="205" t="s">
        <v>6986</v>
      </c>
    </row>
    <row r="3" spans="1:10" x14ac:dyDescent="0.25">
      <c r="A3" s="10" t="s">
        <v>6903</v>
      </c>
      <c r="J3" s="205" t="s">
        <v>6988</v>
      </c>
    </row>
    <row r="4" spans="1:10" x14ac:dyDescent="0.25">
      <c r="A4" s="10" t="s">
        <v>6902</v>
      </c>
    </row>
    <row r="5" spans="1:10" x14ac:dyDescent="0.25">
      <c r="A5" s="10" t="s">
        <v>6904</v>
      </c>
    </row>
    <row r="6" spans="1:10" x14ac:dyDescent="0.25">
      <c r="A6" s="10" t="s">
        <v>6907</v>
      </c>
    </row>
    <row r="7" spans="1:10" x14ac:dyDescent="0.25">
      <c r="A7" s="10" t="s">
        <v>6908</v>
      </c>
    </row>
    <row r="9" spans="1:10" x14ac:dyDescent="0.25">
      <c r="A9" s="206" t="s">
        <v>72</v>
      </c>
      <c r="B9" s="207" t="s">
        <v>73</v>
      </c>
      <c r="C9" s="203" t="s">
        <v>2212</v>
      </c>
      <c r="D9" s="338" t="s">
        <v>6956</v>
      </c>
      <c r="E9" s="339" t="s">
        <v>6879</v>
      </c>
      <c r="F9" s="340" t="s">
        <v>6880</v>
      </c>
      <c r="G9" s="340" t="s">
        <v>6884</v>
      </c>
      <c r="H9" s="8" t="s">
        <v>74</v>
      </c>
      <c r="I9" s="8" t="s">
        <v>75</v>
      </c>
      <c r="J9" s="208" t="s">
        <v>6987</v>
      </c>
    </row>
    <row r="10" spans="1:10" x14ac:dyDescent="0.25">
      <c r="A10" s="204" t="s">
        <v>76</v>
      </c>
      <c r="B10" s="9" t="str">
        <f t="shared" ref="B10:B73" si="0">RIGHT(A10,8)</f>
        <v>10130100</v>
      </c>
      <c r="C10" s="9" t="str">
        <f>VLOOKUP(B10,COA!A:B,2,FALSE)</f>
        <v>UPIS - Organization</v>
      </c>
      <c r="D10" s="338" t="str">
        <f>+I10</f>
        <v>C3011</v>
      </c>
      <c r="E10" s="338" t="s">
        <v>6870</v>
      </c>
      <c r="F10" s="338" t="s">
        <v>20</v>
      </c>
      <c r="G10" s="338" t="s">
        <v>21</v>
      </c>
      <c r="H10" s="204" t="s">
        <v>77</v>
      </c>
      <c r="I10" s="204" t="s">
        <v>7187</v>
      </c>
    </row>
    <row r="11" spans="1:10" x14ac:dyDescent="0.25">
      <c r="A11" s="204" t="s">
        <v>78</v>
      </c>
      <c r="B11" s="9" t="str">
        <f t="shared" si="0"/>
        <v>10130200</v>
      </c>
      <c r="C11" s="9" t="str">
        <f>VLOOKUP(B11,COA!A:B,2,FALSE)</f>
        <v>UPIS - Franchises</v>
      </c>
      <c r="D11" s="338" t="str">
        <f t="shared" ref="D11:D74" si="1">+I11</f>
        <v>C3021</v>
      </c>
      <c r="E11" s="338" t="s">
        <v>6870</v>
      </c>
      <c r="F11" s="338" t="s">
        <v>20</v>
      </c>
      <c r="G11" s="338" t="s">
        <v>22</v>
      </c>
      <c r="H11" s="204" t="s">
        <v>77</v>
      </c>
      <c r="I11" s="204" t="s">
        <v>7188</v>
      </c>
    </row>
    <row r="12" spans="1:10" x14ac:dyDescent="0.25">
      <c r="A12" s="204" t="s">
        <v>79</v>
      </c>
      <c r="B12" s="9" t="str">
        <f t="shared" si="0"/>
        <v>10130320</v>
      </c>
      <c r="C12" s="9" t="str">
        <f>VLOOKUP(B12,COA!A:B,2,FALSE)</f>
        <v>UPIS - Land &amp; Land Rights - Source of Supply</v>
      </c>
      <c r="D12" s="338" t="str">
        <f t="shared" si="1"/>
        <v>C3032</v>
      </c>
      <c r="E12" s="338" t="s">
        <v>6870</v>
      </c>
      <c r="F12" s="338" t="s">
        <v>23</v>
      </c>
      <c r="G12" s="338" t="s">
        <v>7189</v>
      </c>
      <c r="H12" s="204" t="s">
        <v>77</v>
      </c>
      <c r="I12" s="204" t="s">
        <v>7190</v>
      </c>
    </row>
    <row r="13" spans="1:10" x14ac:dyDescent="0.25">
      <c r="A13" s="204" t="s">
        <v>80</v>
      </c>
      <c r="B13" s="9" t="str">
        <f t="shared" si="0"/>
        <v>10130330</v>
      </c>
      <c r="C13" s="9" t="str">
        <f>VLOOKUP(B13,COA!A:B,2,FALSE)</f>
        <v>UPIS - Land &amp; Land Rights - Pumping</v>
      </c>
      <c r="D13" s="338" t="str">
        <f t="shared" si="1"/>
        <v>C3032</v>
      </c>
      <c r="E13" s="338" t="s">
        <v>6870</v>
      </c>
      <c r="F13" s="338" t="s">
        <v>6865</v>
      </c>
      <c r="G13" s="338" t="s">
        <v>7191</v>
      </c>
      <c r="H13" s="204" t="s">
        <v>77</v>
      </c>
      <c r="I13" s="204" t="s">
        <v>7190</v>
      </c>
    </row>
    <row r="14" spans="1:10" x14ac:dyDescent="0.25">
      <c r="A14" s="204" t="s">
        <v>81</v>
      </c>
      <c r="B14" s="9" t="str">
        <f t="shared" si="0"/>
        <v>10130340</v>
      </c>
      <c r="C14" s="9" t="str">
        <f>VLOOKUP(B14,COA!A:B,2,FALSE)</f>
        <v>UPIS - Land &amp; Land Rights - Water Treatment</v>
      </c>
      <c r="D14" s="338" t="str">
        <f t="shared" si="1"/>
        <v>C3033</v>
      </c>
      <c r="E14" s="338" t="s">
        <v>6870</v>
      </c>
      <c r="F14" s="338" t="s">
        <v>9</v>
      </c>
      <c r="G14" s="338" t="s">
        <v>7192</v>
      </c>
      <c r="H14" s="204" t="s">
        <v>77</v>
      </c>
      <c r="I14" s="204" t="s">
        <v>7193</v>
      </c>
    </row>
    <row r="15" spans="1:10" x14ac:dyDescent="0.25">
      <c r="A15" s="204" t="s">
        <v>82</v>
      </c>
      <c r="B15" s="9" t="str">
        <f t="shared" si="0"/>
        <v>10130350</v>
      </c>
      <c r="C15" s="9" t="str">
        <f>VLOOKUP(B15,COA!A:B,2,FALSE)</f>
        <v>UPIS - Land &amp; Land Rights - Transmission &amp; Distrib</v>
      </c>
      <c r="D15" s="338" t="str">
        <f t="shared" si="1"/>
        <v>C3034</v>
      </c>
      <c r="E15" s="338" t="s">
        <v>6870</v>
      </c>
      <c r="F15" s="338" t="s">
        <v>6982</v>
      </c>
      <c r="G15" s="338" t="s">
        <v>7194</v>
      </c>
      <c r="H15" s="204" t="s">
        <v>77</v>
      </c>
      <c r="I15" s="204" t="s">
        <v>7195</v>
      </c>
    </row>
    <row r="16" spans="1:10" x14ac:dyDescent="0.25">
      <c r="A16" s="204" t="s">
        <v>83</v>
      </c>
      <c r="B16" s="9" t="str">
        <f t="shared" si="0"/>
        <v>10130360</v>
      </c>
      <c r="C16" s="9" t="str">
        <f>VLOOKUP(B16,COA!A:B,2,FALSE)</f>
        <v>UPIS - Land &amp; Land Rights - Admin &amp; General</v>
      </c>
      <c r="D16" s="338" t="str">
        <f t="shared" si="1"/>
        <v>C3035</v>
      </c>
      <c r="E16" s="338" t="s">
        <v>6870</v>
      </c>
      <c r="F16" s="338" t="s">
        <v>31</v>
      </c>
      <c r="G16" s="338" t="s">
        <v>7196</v>
      </c>
      <c r="H16" s="204" t="s">
        <v>77</v>
      </c>
      <c r="I16" s="204" t="s">
        <v>7197</v>
      </c>
    </row>
    <row r="17" spans="1:9" x14ac:dyDescent="0.25">
      <c r="A17" s="204" t="s">
        <v>84</v>
      </c>
      <c r="B17" s="9" t="str">
        <f t="shared" si="0"/>
        <v>10130410</v>
      </c>
      <c r="C17" s="9" t="str">
        <f>VLOOKUP(B17,COA!A:B,2,FALSE)</f>
        <v>UPIS - Struct &amp; Imp - Source of Supply</v>
      </c>
      <c r="D17" s="338" t="str">
        <f t="shared" si="1"/>
        <v>C3042</v>
      </c>
      <c r="E17" s="338" t="s">
        <v>6870</v>
      </c>
      <c r="F17" s="338" t="s">
        <v>23</v>
      </c>
      <c r="G17" s="338" t="s">
        <v>7198</v>
      </c>
      <c r="H17" s="204" t="s">
        <v>77</v>
      </c>
      <c r="I17" s="204" t="s">
        <v>7199</v>
      </c>
    </row>
    <row r="18" spans="1:9" x14ac:dyDescent="0.25">
      <c r="A18" s="204" t="s">
        <v>85</v>
      </c>
      <c r="B18" s="9" t="str">
        <f t="shared" si="0"/>
        <v>10130420</v>
      </c>
      <c r="C18" s="9" t="str">
        <f>VLOOKUP(B18,COA!A:B,2,FALSE)</f>
        <v>UPIS - Struct &amp; Imp - Pumping</v>
      </c>
      <c r="D18" s="338" t="str">
        <f t="shared" si="1"/>
        <v>C3042</v>
      </c>
      <c r="E18" s="338" t="s">
        <v>6870</v>
      </c>
      <c r="F18" s="338" t="s">
        <v>6865</v>
      </c>
      <c r="G18" s="338" t="s">
        <v>7200</v>
      </c>
      <c r="H18" s="204" t="s">
        <v>77</v>
      </c>
      <c r="I18" s="204" t="s">
        <v>7199</v>
      </c>
    </row>
    <row r="19" spans="1:9" x14ac:dyDescent="0.25">
      <c r="A19" s="204" t="s">
        <v>86</v>
      </c>
      <c r="B19" s="9" t="str">
        <f t="shared" si="0"/>
        <v>10130430</v>
      </c>
      <c r="C19" s="9" t="str">
        <f>VLOOKUP(B19,COA!A:B,2,FALSE)</f>
        <v>UPIS - Struct &amp; Imp - Water Treatment</v>
      </c>
      <c r="D19" s="338" t="str">
        <f t="shared" si="1"/>
        <v>C3043</v>
      </c>
      <c r="E19" s="338" t="s">
        <v>6870</v>
      </c>
      <c r="F19" s="338" t="s">
        <v>9</v>
      </c>
      <c r="G19" s="338" t="s">
        <v>7201</v>
      </c>
      <c r="H19" s="204" t="s">
        <v>77</v>
      </c>
      <c r="I19" s="204" t="s">
        <v>7202</v>
      </c>
    </row>
    <row r="20" spans="1:9" x14ac:dyDescent="0.25">
      <c r="A20" s="204" t="s">
        <v>87</v>
      </c>
      <c r="B20" s="9" t="str">
        <f t="shared" si="0"/>
        <v>10130440</v>
      </c>
      <c r="C20" s="9" t="str">
        <f>VLOOKUP(B20,COA!A:B,2,FALSE)</f>
        <v>UPIS - Struct &amp; Imp - Transmission &amp; Distribution</v>
      </c>
      <c r="D20" s="338" t="str">
        <f t="shared" si="1"/>
        <v>C3044</v>
      </c>
      <c r="E20" s="338" t="s">
        <v>6870</v>
      </c>
      <c r="F20" s="338" t="s">
        <v>6982</v>
      </c>
      <c r="G20" s="338" t="s">
        <v>7203</v>
      </c>
      <c r="H20" s="204" t="s">
        <v>77</v>
      </c>
      <c r="I20" s="204" t="s">
        <v>7204</v>
      </c>
    </row>
    <row r="21" spans="1:9" x14ac:dyDescent="0.25">
      <c r="A21" s="204" t="s">
        <v>88</v>
      </c>
      <c r="B21" s="9" t="str">
        <f t="shared" si="0"/>
        <v>10130450</v>
      </c>
      <c r="C21" s="9" t="str">
        <f>VLOOKUP(B21,COA!A:B,2,FALSE)</f>
        <v>UPIS - Struct &amp; Imp - Admin &amp; General</v>
      </c>
      <c r="D21" s="338" t="str">
        <f t="shared" si="1"/>
        <v>C3045</v>
      </c>
      <c r="E21" s="338" t="s">
        <v>6870</v>
      </c>
      <c r="F21" s="338" t="s">
        <v>31</v>
      </c>
      <c r="G21" s="338" t="s">
        <v>7205</v>
      </c>
      <c r="H21" s="204" t="s">
        <v>77</v>
      </c>
      <c r="I21" s="204" t="s">
        <v>7206</v>
      </c>
    </row>
    <row r="22" spans="1:9" x14ac:dyDescent="0.25">
      <c r="A22" s="204" t="s">
        <v>89</v>
      </c>
      <c r="B22" s="9" t="str">
        <f t="shared" si="0"/>
        <v>10130500</v>
      </c>
      <c r="C22" s="9" t="str">
        <f>VLOOKUP(B22,COA!A:B,2,FALSE)</f>
        <v>UPIS - Collect &amp; Impounding</v>
      </c>
      <c r="D22" s="338" t="str">
        <f t="shared" si="1"/>
        <v>C3052</v>
      </c>
      <c r="E22" s="338" t="s">
        <v>6870</v>
      </c>
      <c r="F22" s="338" t="s">
        <v>23</v>
      </c>
      <c r="G22" s="338" t="s">
        <v>7207</v>
      </c>
      <c r="H22" s="204" t="s">
        <v>77</v>
      </c>
      <c r="I22" s="204" t="s">
        <v>7208</v>
      </c>
    </row>
    <row r="23" spans="1:9" x14ac:dyDescent="0.25">
      <c r="A23" s="204" t="s">
        <v>90</v>
      </c>
      <c r="B23" s="9" t="str">
        <f t="shared" si="0"/>
        <v>10130600</v>
      </c>
      <c r="C23" s="9" t="str">
        <f>VLOOKUP(B23,COA!A:B,2,FALSE)</f>
        <v>UPIS - Lake &amp; River &amp; Other</v>
      </c>
      <c r="D23" s="338" t="str">
        <f t="shared" si="1"/>
        <v>C3062</v>
      </c>
      <c r="E23" s="338" t="s">
        <v>6870</v>
      </c>
      <c r="F23" s="338" t="s">
        <v>23</v>
      </c>
      <c r="G23" s="338" t="s">
        <v>7209</v>
      </c>
      <c r="H23" s="204" t="s">
        <v>77</v>
      </c>
      <c r="I23" s="204" t="s">
        <v>7210</v>
      </c>
    </row>
    <row r="24" spans="1:9" x14ac:dyDescent="0.25">
      <c r="A24" s="204" t="s">
        <v>91</v>
      </c>
      <c r="B24" s="9" t="str">
        <f t="shared" si="0"/>
        <v>10130700</v>
      </c>
      <c r="C24" s="9" t="str">
        <f>VLOOKUP(B24,COA!A:B,2,FALSE)</f>
        <v>UPIS - Wells &amp; Springs</v>
      </c>
      <c r="D24" s="338" t="str">
        <f t="shared" si="1"/>
        <v>C3072</v>
      </c>
      <c r="E24" s="338" t="s">
        <v>6870</v>
      </c>
      <c r="F24" s="338" t="s">
        <v>23</v>
      </c>
      <c r="G24" s="338" t="s">
        <v>24</v>
      </c>
      <c r="H24" s="204" t="s">
        <v>77</v>
      </c>
      <c r="I24" s="204" t="s">
        <v>7211</v>
      </c>
    </row>
    <row r="25" spans="1:9" x14ac:dyDescent="0.25">
      <c r="A25" s="204" t="s">
        <v>92</v>
      </c>
      <c r="B25" s="9" t="str">
        <f t="shared" si="0"/>
        <v>10130800</v>
      </c>
      <c r="C25" s="9" t="str">
        <f>VLOOKUP(B25,COA!A:B,2,FALSE)</f>
        <v>UPIS - Infiltration Galleries</v>
      </c>
      <c r="D25" s="338" t="str">
        <f t="shared" si="1"/>
        <v>C3082</v>
      </c>
      <c r="E25" s="338" t="s">
        <v>6870</v>
      </c>
      <c r="F25" s="338" t="s">
        <v>23</v>
      </c>
      <c r="G25" s="338" t="s">
        <v>7212</v>
      </c>
      <c r="H25" s="204" t="s">
        <v>77</v>
      </c>
      <c r="I25" s="204" t="s">
        <v>7213</v>
      </c>
    </row>
    <row r="26" spans="1:9" x14ac:dyDescent="0.25">
      <c r="A26" s="204" t="s">
        <v>93</v>
      </c>
      <c r="B26" s="9" t="str">
        <f t="shared" si="0"/>
        <v>10130900</v>
      </c>
      <c r="C26" s="9" t="str">
        <f>VLOOKUP(B26,COA!A:B,2,FALSE)</f>
        <v>UPIS - Supply Mains</v>
      </c>
      <c r="D26" s="338" t="str">
        <f t="shared" si="1"/>
        <v>C3092</v>
      </c>
      <c r="E26" s="338" t="s">
        <v>6870</v>
      </c>
      <c r="F26" s="338" t="s">
        <v>23</v>
      </c>
      <c r="G26" s="338" t="s">
        <v>25</v>
      </c>
      <c r="H26" s="204" t="s">
        <v>77</v>
      </c>
      <c r="I26" s="204" t="s">
        <v>7214</v>
      </c>
    </row>
    <row r="27" spans="1:9" x14ac:dyDescent="0.25">
      <c r="A27" s="204" t="s">
        <v>94</v>
      </c>
      <c r="B27" s="9" t="str">
        <f t="shared" si="0"/>
        <v>10131000</v>
      </c>
      <c r="C27" s="9" t="str">
        <f>VLOOKUP(B27,COA!A:B,2,FALSE)</f>
        <v>UPIS - Power Generation Equipment</v>
      </c>
      <c r="D27" s="338" t="str">
        <f t="shared" si="1"/>
        <v>C3102</v>
      </c>
      <c r="E27" s="338" t="s">
        <v>6870</v>
      </c>
      <c r="F27" s="338" t="s">
        <v>6865</v>
      </c>
      <c r="G27" s="338" t="s">
        <v>7215</v>
      </c>
      <c r="H27" s="204" t="s">
        <v>77</v>
      </c>
      <c r="I27" s="204" t="s">
        <v>7216</v>
      </c>
    </row>
    <row r="28" spans="1:9" x14ac:dyDescent="0.25">
      <c r="A28" s="204" t="s">
        <v>95</v>
      </c>
      <c r="B28" s="9" t="str">
        <f t="shared" si="0"/>
        <v>10131020</v>
      </c>
      <c r="C28" s="9" t="str">
        <f>VLOOKUP(B28,COA!A:B,2,FALSE)</f>
        <v>UPIS - Boiler Plant Equipment</v>
      </c>
      <c r="D28" s="338" t="str">
        <f t="shared" si="1"/>
        <v>C3112</v>
      </c>
      <c r="E28" s="338" t="s">
        <v>6870</v>
      </c>
      <c r="F28" s="338" t="s">
        <v>6865</v>
      </c>
      <c r="G28" s="338" t="s">
        <v>7217</v>
      </c>
      <c r="H28" s="204" t="s">
        <v>77</v>
      </c>
      <c r="I28" s="204" t="s">
        <v>7218</v>
      </c>
    </row>
    <row r="29" spans="1:9" x14ac:dyDescent="0.25">
      <c r="A29" s="204" t="s">
        <v>96</v>
      </c>
      <c r="B29" s="9" t="str">
        <f t="shared" si="0"/>
        <v>10131110</v>
      </c>
      <c r="C29" s="9" t="str">
        <f>VLOOKUP(B29,COA!A:B,2,FALSE)</f>
        <v>UPIS - Pumping Equipment - Steam</v>
      </c>
      <c r="D29" s="338" t="str">
        <f t="shared" si="1"/>
        <v>C3112</v>
      </c>
      <c r="E29" s="338" t="s">
        <v>6870</v>
      </c>
      <c r="F29" s="338" t="s">
        <v>6865</v>
      </c>
      <c r="G29" s="338" t="s">
        <v>7219</v>
      </c>
      <c r="H29" s="204" t="s">
        <v>77</v>
      </c>
      <c r="I29" s="204" t="s">
        <v>7218</v>
      </c>
    </row>
    <row r="30" spans="1:9" x14ac:dyDescent="0.25">
      <c r="A30" s="204" t="s">
        <v>97</v>
      </c>
      <c r="B30" s="9" t="str">
        <f t="shared" si="0"/>
        <v>10131120</v>
      </c>
      <c r="C30" s="9" t="str">
        <f>VLOOKUP(B30,COA!A:B,2,FALSE)</f>
        <v>UPIS - Pumping Equipment - Electric</v>
      </c>
      <c r="D30" s="338" t="str">
        <f t="shared" si="1"/>
        <v>C3112</v>
      </c>
      <c r="E30" s="338" t="s">
        <v>6870</v>
      </c>
      <c r="F30" s="338" t="s">
        <v>6865</v>
      </c>
      <c r="G30" s="338" t="s">
        <v>7220</v>
      </c>
      <c r="H30" s="204" t="s">
        <v>77</v>
      </c>
      <c r="I30" s="204" t="s">
        <v>7218</v>
      </c>
    </row>
    <row r="31" spans="1:9" x14ac:dyDescent="0.25">
      <c r="A31" s="204" t="s">
        <v>98</v>
      </c>
      <c r="B31" s="9" t="str">
        <f t="shared" si="0"/>
        <v>10131130</v>
      </c>
      <c r="C31" s="9" t="str">
        <f>VLOOKUP(B31,COA!A:B,2,FALSE)</f>
        <v>UPIS - Pumping Equipment - Diesel</v>
      </c>
      <c r="D31" s="338" t="str">
        <f t="shared" si="1"/>
        <v>C3112</v>
      </c>
      <c r="E31" s="338" t="s">
        <v>6870</v>
      </c>
      <c r="F31" s="338" t="s">
        <v>6865</v>
      </c>
      <c r="G31" s="338" t="s">
        <v>7221</v>
      </c>
      <c r="H31" s="204" t="s">
        <v>77</v>
      </c>
      <c r="I31" s="204" t="s">
        <v>7218</v>
      </c>
    </row>
    <row r="32" spans="1:9" x14ac:dyDescent="0.25">
      <c r="A32" s="204" t="s">
        <v>99</v>
      </c>
      <c r="B32" s="9" t="str">
        <f t="shared" si="0"/>
        <v>10131140</v>
      </c>
      <c r="C32" s="9" t="str">
        <f>VLOOKUP(B32,COA!A:B,2,FALSE)</f>
        <v>UPIS - Pumping Equipment - Hydraulic</v>
      </c>
      <c r="D32" s="338" t="str">
        <f t="shared" si="1"/>
        <v>C3112</v>
      </c>
      <c r="E32" s="338" t="s">
        <v>6870</v>
      </c>
      <c r="F32" s="338" t="s">
        <v>6865</v>
      </c>
      <c r="G32" s="338" t="s">
        <v>7222</v>
      </c>
      <c r="H32" s="204" t="s">
        <v>77</v>
      </c>
      <c r="I32" s="204" t="s">
        <v>7218</v>
      </c>
    </row>
    <row r="33" spans="1:10" x14ac:dyDescent="0.25">
      <c r="A33" s="204" t="s">
        <v>100</v>
      </c>
      <c r="B33" s="9" t="str">
        <f t="shared" si="0"/>
        <v>10131150</v>
      </c>
      <c r="C33" s="9" t="str">
        <f>VLOOKUP(B33,COA!A:B,2,FALSE)</f>
        <v>UPIS - Pumping Equipment - Other</v>
      </c>
      <c r="D33" s="338" t="str">
        <f t="shared" si="1"/>
        <v>C3112</v>
      </c>
      <c r="E33" s="338" t="s">
        <v>6870</v>
      </c>
      <c r="F33" s="338" t="s">
        <v>6865</v>
      </c>
      <c r="G33" s="338" t="s">
        <v>7223</v>
      </c>
      <c r="H33" s="204" t="s">
        <v>77</v>
      </c>
      <c r="I33" s="204" t="s">
        <v>7218</v>
      </c>
    </row>
    <row r="34" spans="1:10" x14ac:dyDescent="0.25">
      <c r="A34" s="204" t="s">
        <v>101</v>
      </c>
      <c r="B34" s="9" t="str">
        <f t="shared" si="0"/>
        <v>10131152</v>
      </c>
      <c r="C34" s="9" t="str">
        <f>VLOOKUP(B34,COA!A:B,2,FALSE)</f>
        <v>UPIS - Pumping Equipment - Source of Supply</v>
      </c>
      <c r="D34" s="338" t="str">
        <f t="shared" si="1"/>
        <v>C3112</v>
      </c>
      <c r="E34" s="338" t="s">
        <v>6870</v>
      </c>
      <c r="F34" s="338" t="s">
        <v>23</v>
      </c>
      <c r="G34" s="338" t="s">
        <v>7224</v>
      </c>
      <c r="H34" s="204" t="s">
        <v>77</v>
      </c>
      <c r="I34" s="204" t="s">
        <v>7218</v>
      </c>
    </row>
    <row r="35" spans="1:10" x14ac:dyDescent="0.25">
      <c r="A35" s="204" t="s">
        <v>102</v>
      </c>
      <c r="B35" s="9" t="str">
        <f t="shared" si="0"/>
        <v>10131153</v>
      </c>
      <c r="C35" s="9" t="str">
        <f>VLOOKUP(B35,COA!A:B,2,FALSE)</f>
        <v>UPIS - Pumping Equipment - Water Treatment</v>
      </c>
      <c r="D35" s="338" t="str">
        <f t="shared" si="1"/>
        <v>C3113</v>
      </c>
      <c r="E35" s="338" t="s">
        <v>6870</v>
      </c>
      <c r="F35" s="338" t="s">
        <v>9</v>
      </c>
      <c r="G35" s="338" t="s">
        <v>7225</v>
      </c>
      <c r="H35" s="204" t="s">
        <v>77</v>
      </c>
      <c r="I35" s="204" t="s">
        <v>7226</v>
      </c>
    </row>
    <row r="36" spans="1:10" x14ac:dyDescent="0.25">
      <c r="A36" s="204" t="s">
        <v>103</v>
      </c>
      <c r="B36" s="9" t="str">
        <f t="shared" si="0"/>
        <v>10131154</v>
      </c>
      <c r="C36" s="9" t="str">
        <f>VLOOKUP(B36,COA!A:B,2,FALSE)</f>
        <v>UPIS - Pumping Equipment - Transmission &amp; Distrib</v>
      </c>
      <c r="D36" s="338" t="str">
        <f t="shared" si="1"/>
        <v>C3114</v>
      </c>
      <c r="E36" s="338" t="s">
        <v>6870</v>
      </c>
      <c r="F36" s="338" t="s">
        <v>6982</v>
      </c>
      <c r="G36" s="338" t="s">
        <v>7227</v>
      </c>
      <c r="H36" s="204" t="s">
        <v>77</v>
      </c>
      <c r="I36" s="204" t="s">
        <v>7228</v>
      </c>
    </row>
    <row r="37" spans="1:10" x14ac:dyDescent="0.25">
      <c r="A37" s="204" t="s">
        <v>104</v>
      </c>
      <c r="B37" s="9" t="str">
        <f t="shared" si="0"/>
        <v>10132010</v>
      </c>
      <c r="C37" s="9" t="str">
        <f>VLOOKUP(B37,COA!A:B,2,FALSE)</f>
        <v>UPIS - Water Treatment Equipment</v>
      </c>
      <c r="D37" s="338" t="str">
        <f t="shared" si="1"/>
        <v>C3203</v>
      </c>
      <c r="E37" s="338" t="s">
        <v>6870</v>
      </c>
      <c r="F37" s="338" t="s">
        <v>9</v>
      </c>
      <c r="G37" s="338" t="s">
        <v>7229</v>
      </c>
      <c r="H37" s="204" t="s">
        <v>77</v>
      </c>
      <c r="I37" s="204" t="s">
        <v>7230</v>
      </c>
    </row>
    <row r="38" spans="1:10" x14ac:dyDescent="0.25">
      <c r="A38" s="204" t="s">
        <v>105</v>
      </c>
      <c r="B38" s="9" t="str">
        <f t="shared" si="0"/>
        <v>10133000</v>
      </c>
      <c r="C38" s="9" t="str">
        <f>VLOOKUP(B38,COA!A:B,2,FALSE)</f>
        <v>UPIS - Distribution Reservoirs &amp; Standpipes</v>
      </c>
      <c r="D38" s="338" t="str">
        <f t="shared" si="1"/>
        <v>C3304</v>
      </c>
      <c r="E38" s="338" t="s">
        <v>6870</v>
      </c>
      <c r="F38" s="338" t="s">
        <v>6959</v>
      </c>
      <c r="G38" s="338" t="s">
        <v>7231</v>
      </c>
      <c r="H38" s="204" t="s">
        <v>77</v>
      </c>
      <c r="I38" s="204" t="s">
        <v>7232</v>
      </c>
    </row>
    <row r="39" spans="1:10" x14ac:dyDescent="0.25">
      <c r="A39" s="204" t="s">
        <v>106</v>
      </c>
      <c r="B39" s="9" t="str">
        <f t="shared" si="0"/>
        <v>10133100</v>
      </c>
      <c r="C39" s="9" t="str">
        <f>VLOOKUP(B39,COA!A:B,2,FALSE)</f>
        <v>UPIS - Transmission &amp; Distribution Mains</v>
      </c>
      <c r="D39" s="338" t="str">
        <f t="shared" si="1"/>
        <v>C3314</v>
      </c>
      <c r="E39" s="338" t="s">
        <v>6870</v>
      </c>
      <c r="F39" s="338" t="s">
        <v>6982</v>
      </c>
      <c r="G39" s="338" t="s">
        <v>7233</v>
      </c>
      <c r="H39" s="204" t="s">
        <v>77</v>
      </c>
      <c r="I39" s="204" t="s">
        <v>7234</v>
      </c>
    </row>
    <row r="40" spans="1:10" x14ac:dyDescent="0.25">
      <c r="A40" s="204" t="s">
        <v>107</v>
      </c>
      <c r="B40" s="9" t="str">
        <f t="shared" si="0"/>
        <v>10133200</v>
      </c>
      <c r="C40" s="9" t="str">
        <f>VLOOKUP(B40,COA!A:B,2,FALSE)</f>
        <v>UPIS - Fire Mains</v>
      </c>
      <c r="D40" s="338" t="str">
        <f t="shared" si="1"/>
        <v>C3314</v>
      </c>
      <c r="E40" s="338" t="s">
        <v>6870</v>
      </c>
      <c r="F40" s="338" t="s">
        <v>30</v>
      </c>
      <c r="G40" s="338" t="s">
        <v>26</v>
      </c>
      <c r="H40" s="204" t="s">
        <v>77</v>
      </c>
      <c r="I40" s="204" t="s">
        <v>7234</v>
      </c>
      <c r="J40" s="205"/>
    </row>
    <row r="41" spans="1:10" x14ac:dyDescent="0.25">
      <c r="A41" s="204" t="s">
        <v>108</v>
      </c>
      <c r="B41" s="9" t="str">
        <f t="shared" si="0"/>
        <v>10133300</v>
      </c>
      <c r="C41" s="9" t="str">
        <f>VLOOKUP(B41,COA!A:B,2,FALSE)</f>
        <v>UPIS - Services</v>
      </c>
      <c r="D41" s="338" t="str">
        <f t="shared" si="1"/>
        <v>C3334</v>
      </c>
      <c r="E41" s="338" t="s">
        <v>6870</v>
      </c>
      <c r="F41" s="338" t="s">
        <v>27</v>
      </c>
      <c r="G41" s="338" t="s">
        <v>27</v>
      </c>
      <c r="H41" s="204" t="s">
        <v>77</v>
      </c>
      <c r="I41" s="204" t="s">
        <v>7235</v>
      </c>
    </row>
    <row r="42" spans="1:10" x14ac:dyDescent="0.25">
      <c r="A42" s="204" t="s">
        <v>109</v>
      </c>
      <c r="B42" s="9" t="str">
        <f t="shared" si="0"/>
        <v>10133410</v>
      </c>
      <c r="C42" s="9" t="str">
        <f>VLOOKUP(B42,COA!A:B,2,FALSE)</f>
        <v>UPIS - Meters</v>
      </c>
      <c r="D42" s="338" t="str">
        <f t="shared" si="1"/>
        <v>C3344</v>
      </c>
      <c r="E42" s="338" t="s">
        <v>6870</v>
      </c>
      <c r="F42" s="338" t="s">
        <v>28</v>
      </c>
      <c r="G42" s="338" t="s">
        <v>28</v>
      </c>
      <c r="H42" s="204" t="s">
        <v>77</v>
      </c>
      <c r="I42" s="204" t="s">
        <v>7236</v>
      </c>
    </row>
    <row r="43" spans="1:10" x14ac:dyDescent="0.25">
      <c r="A43" s="204" t="s">
        <v>110</v>
      </c>
      <c r="B43" s="9" t="str">
        <f t="shared" si="0"/>
        <v>10133420</v>
      </c>
      <c r="C43" s="9" t="str">
        <f>VLOOKUP(B43,COA!A:B,2,FALSE)</f>
        <v>UPIS - Meter Installations</v>
      </c>
      <c r="D43" s="338" t="str">
        <f t="shared" si="1"/>
        <v>C3344</v>
      </c>
      <c r="E43" s="338" t="s">
        <v>6870</v>
      </c>
      <c r="F43" s="338" t="s">
        <v>28</v>
      </c>
      <c r="G43" s="338" t="s">
        <v>29</v>
      </c>
      <c r="H43" s="204" t="s">
        <v>77</v>
      </c>
      <c r="I43" s="204" t="s">
        <v>7236</v>
      </c>
    </row>
    <row r="44" spans="1:10" x14ac:dyDescent="0.25">
      <c r="A44" s="204" t="s">
        <v>111</v>
      </c>
      <c r="B44" s="9" t="str">
        <f t="shared" si="0"/>
        <v>10133500</v>
      </c>
      <c r="C44" s="9" t="str">
        <f>VLOOKUP(B44,COA!A:B,2,FALSE)</f>
        <v>UPIS - Hydrants</v>
      </c>
      <c r="D44" s="338" t="str">
        <f t="shared" si="1"/>
        <v>C3354</v>
      </c>
      <c r="E44" s="338" t="s">
        <v>6870</v>
      </c>
      <c r="F44" s="338" t="s">
        <v>30</v>
      </c>
      <c r="G44" s="338" t="s">
        <v>30</v>
      </c>
      <c r="H44" s="204" t="s">
        <v>77</v>
      </c>
      <c r="I44" s="204" t="s">
        <v>7237</v>
      </c>
    </row>
    <row r="45" spans="1:10" x14ac:dyDescent="0.25">
      <c r="A45" s="204" t="s">
        <v>112</v>
      </c>
      <c r="B45" s="9" t="str">
        <f t="shared" si="0"/>
        <v>10133600</v>
      </c>
      <c r="C45" s="9" t="str">
        <f>VLOOKUP(B45,COA!A:B,2,FALSE)</f>
        <v>UPIS - Backflow Prevention</v>
      </c>
      <c r="D45" s="338" t="str">
        <f t="shared" si="1"/>
        <v>C3364</v>
      </c>
      <c r="E45" s="338" t="s">
        <v>6870</v>
      </c>
      <c r="F45" s="338" t="s">
        <v>28</v>
      </c>
      <c r="G45" s="338" t="s">
        <v>27</v>
      </c>
      <c r="H45" s="204" t="s">
        <v>77</v>
      </c>
      <c r="I45" s="204" t="s">
        <v>7238</v>
      </c>
    </row>
    <row r="46" spans="1:10" x14ac:dyDescent="0.25">
      <c r="A46" s="204" t="s">
        <v>113</v>
      </c>
      <c r="B46" s="9" t="str">
        <f t="shared" si="0"/>
        <v>10133910</v>
      </c>
      <c r="C46" s="9" t="str">
        <f>VLOOKUP(B46,COA!A:B,2,FALSE)</f>
        <v>UPIS - Other P/E - Intangible</v>
      </c>
      <c r="D46" s="338" t="str">
        <f t="shared" si="1"/>
        <v>C3391</v>
      </c>
      <c r="E46" s="338" t="s">
        <v>6870</v>
      </c>
      <c r="F46" s="338" t="s">
        <v>20</v>
      </c>
      <c r="G46" s="338" t="s">
        <v>7239</v>
      </c>
      <c r="H46" s="204" t="s">
        <v>77</v>
      </c>
      <c r="I46" s="204" t="s">
        <v>7240</v>
      </c>
    </row>
    <row r="47" spans="1:10" x14ac:dyDescent="0.25">
      <c r="A47" s="204" t="s">
        <v>114</v>
      </c>
      <c r="B47" s="9" t="str">
        <f t="shared" si="0"/>
        <v>10133920</v>
      </c>
      <c r="C47" s="9" t="str">
        <f>VLOOKUP(B47,COA!A:B,2,FALSE)</f>
        <v>UPIS - Other P/E - Source of Supply</v>
      </c>
      <c r="D47" s="338" t="str">
        <f t="shared" si="1"/>
        <v>C3392</v>
      </c>
      <c r="E47" s="338" t="s">
        <v>6870</v>
      </c>
      <c r="F47" s="338" t="s">
        <v>23</v>
      </c>
      <c r="G47" s="338" t="s">
        <v>7241</v>
      </c>
      <c r="H47" s="204" t="s">
        <v>77</v>
      </c>
      <c r="I47" s="204" t="s">
        <v>7242</v>
      </c>
    </row>
    <row r="48" spans="1:10" x14ac:dyDescent="0.25">
      <c r="A48" s="204" t="s">
        <v>115</v>
      </c>
      <c r="B48" s="9" t="str">
        <f t="shared" si="0"/>
        <v>10133930</v>
      </c>
      <c r="C48" s="9" t="str">
        <f>VLOOKUP(B48,COA!A:B,2,FALSE)</f>
        <v>UPIS - Other P/E - Water Treatment</v>
      </c>
      <c r="D48" s="338" t="str">
        <f t="shared" si="1"/>
        <v>C3393</v>
      </c>
      <c r="E48" s="338" t="s">
        <v>6870</v>
      </c>
      <c r="F48" s="338" t="s">
        <v>9</v>
      </c>
      <c r="G48" s="338" t="s">
        <v>7243</v>
      </c>
      <c r="H48" s="204" t="s">
        <v>77</v>
      </c>
      <c r="I48" s="204" t="s">
        <v>7244</v>
      </c>
    </row>
    <row r="49" spans="1:9" x14ac:dyDescent="0.25">
      <c r="A49" s="204" t="s">
        <v>116</v>
      </c>
      <c r="B49" s="9" t="str">
        <f t="shared" si="0"/>
        <v>10133950</v>
      </c>
      <c r="C49" s="9" t="str">
        <f>VLOOKUP(B49,COA!A:B,2,FALSE)</f>
        <v>UPIS - Other P/E - Transmission &amp; Distribution</v>
      </c>
      <c r="D49" s="338" t="str">
        <f t="shared" si="1"/>
        <v>C3394</v>
      </c>
      <c r="E49" s="338" t="s">
        <v>6870</v>
      </c>
      <c r="F49" s="338" t="s">
        <v>6982</v>
      </c>
      <c r="G49" s="338" t="s">
        <v>7245</v>
      </c>
      <c r="H49" s="204" t="s">
        <v>77</v>
      </c>
      <c r="I49" s="204" t="s">
        <v>7246</v>
      </c>
    </row>
    <row r="50" spans="1:9" x14ac:dyDescent="0.25">
      <c r="A50" s="204" t="s">
        <v>117</v>
      </c>
      <c r="B50" s="9" t="str">
        <f t="shared" si="0"/>
        <v>10134010</v>
      </c>
      <c r="C50" s="9" t="str">
        <f>VLOOKUP(B50,COA!A:B,2,FALSE)</f>
        <v>UPIS - Office Furniture &amp; Equipment</v>
      </c>
      <c r="D50" s="338" t="str">
        <f t="shared" si="1"/>
        <v>C3405</v>
      </c>
      <c r="E50" s="338" t="s">
        <v>6870</v>
      </c>
      <c r="F50" s="338" t="s">
        <v>31</v>
      </c>
      <c r="G50" s="338" t="s">
        <v>7247</v>
      </c>
      <c r="H50" s="204" t="s">
        <v>77</v>
      </c>
      <c r="I50" s="204" t="s">
        <v>7248</v>
      </c>
    </row>
    <row r="51" spans="1:9" x14ac:dyDescent="0.25">
      <c r="A51" s="204" t="s">
        <v>118</v>
      </c>
      <c r="B51" s="9" t="str">
        <f t="shared" si="0"/>
        <v>10134100</v>
      </c>
      <c r="C51" s="9" t="str">
        <f>VLOOKUP(B51,COA!A:B,2,FALSE)</f>
        <v>UPIS - Transportation Equipment</v>
      </c>
      <c r="D51" s="338" t="str">
        <f t="shared" si="1"/>
        <v>C3415</v>
      </c>
      <c r="E51" s="338" t="s">
        <v>6870</v>
      </c>
      <c r="F51" s="338" t="s">
        <v>31</v>
      </c>
      <c r="G51" s="338" t="s">
        <v>7249</v>
      </c>
      <c r="H51" s="204" t="s">
        <v>77</v>
      </c>
      <c r="I51" s="204" t="s">
        <v>7250</v>
      </c>
    </row>
    <row r="52" spans="1:9" x14ac:dyDescent="0.25">
      <c r="A52" s="204" t="s">
        <v>119</v>
      </c>
      <c r="B52" s="9" t="str">
        <f t="shared" si="0"/>
        <v>10134200</v>
      </c>
      <c r="C52" s="9" t="str">
        <f>VLOOKUP(B52,COA!A:B,2,FALSE)</f>
        <v>UPIS - Stores Equipment</v>
      </c>
      <c r="D52" s="338" t="str">
        <f t="shared" si="1"/>
        <v>C3425</v>
      </c>
      <c r="E52" s="338" t="s">
        <v>6870</v>
      </c>
      <c r="F52" s="338" t="s">
        <v>31</v>
      </c>
      <c r="G52" s="338" t="s">
        <v>32</v>
      </c>
      <c r="H52" s="204" t="s">
        <v>77</v>
      </c>
      <c r="I52" s="204" t="s">
        <v>7251</v>
      </c>
    </row>
    <row r="53" spans="1:9" x14ac:dyDescent="0.25">
      <c r="A53" s="204" t="s">
        <v>120</v>
      </c>
      <c r="B53" s="9" t="str">
        <f t="shared" si="0"/>
        <v>10134300</v>
      </c>
      <c r="C53" s="9" t="str">
        <f>VLOOKUP(B53,COA!A:B,2,FALSE)</f>
        <v>UPIS - Tools-Shop-Garage Equipment</v>
      </c>
      <c r="D53" s="338" t="str">
        <f t="shared" si="1"/>
        <v>C3435</v>
      </c>
      <c r="E53" s="338" t="s">
        <v>6870</v>
      </c>
      <c r="F53" s="338" t="s">
        <v>31</v>
      </c>
      <c r="G53" s="338" t="s">
        <v>7252</v>
      </c>
      <c r="H53" s="204" t="s">
        <v>77</v>
      </c>
      <c r="I53" s="204" t="s">
        <v>7253</v>
      </c>
    </row>
    <row r="54" spans="1:9" x14ac:dyDescent="0.25">
      <c r="A54" s="204" t="s">
        <v>121</v>
      </c>
      <c r="B54" s="9" t="str">
        <f t="shared" si="0"/>
        <v>10134400</v>
      </c>
      <c r="C54" s="9" t="str">
        <f>VLOOKUP(B54,COA!A:B,2,FALSE)</f>
        <v>UPIS - Laboratory Equipment</v>
      </c>
      <c r="D54" s="338" t="str">
        <f t="shared" si="1"/>
        <v>C3445</v>
      </c>
      <c r="E54" s="338" t="s">
        <v>6870</v>
      </c>
      <c r="F54" s="338" t="s">
        <v>31</v>
      </c>
      <c r="G54" s="338" t="s">
        <v>33</v>
      </c>
      <c r="H54" s="204" t="s">
        <v>77</v>
      </c>
      <c r="I54" s="204" t="s">
        <v>7254</v>
      </c>
    </row>
    <row r="55" spans="1:9" x14ac:dyDescent="0.25">
      <c r="A55" s="204" t="s">
        <v>122</v>
      </c>
      <c r="B55" s="9" t="str">
        <f t="shared" si="0"/>
        <v>10134500</v>
      </c>
      <c r="C55" s="9" t="str">
        <f>VLOOKUP(B55,COA!A:B,2,FALSE)</f>
        <v>UPIS - Power Operated Equipment</v>
      </c>
      <c r="D55" s="338" t="str">
        <f t="shared" si="1"/>
        <v>C3455</v>
      </c>
      <c r="E55" s="338" t="s">
        <v>6870</v>
      </c>
      <c r="F55" s="338" t="s">
        <v>31</v>
      </c>
      <c r="G55" s="338" t="s">
        <v>34</v>
      </c>
      <c r="H55" s="204" t="s">
        <v>77</v>
      </c>
      <c r="I55" s="204" t="s">
        <v>7255</v>
      </c>
    </row>
    <row r="56" spans="1:9" x14ac:dyDescent="0.25">
      <c r="A56" s="204" t="s">
        <v>123</v>
      </c>
      <c r="B56" s="9" t="str">
        <f t="shared" si="0"/>
        <v>10134600</v>
      </c>
      <c r="C56" s="9" t="str">
        <f>VLOOKUP(B56,COA!A:B,2,FALSE)</f>
        <v>UPIS - Communication Equipment</v>
      </c>
      <c r="D56" s="338" t="str">
        <f t="shared" si="1"/>
        <v>C3465</v>
      </c>
      <c r="E56" s="338" t="s">
        <v>6870</v>
      </c>
      <c r="F56" s="338" t="s">
        <v>31</v>
      </c>
      <c r="G56" s="338" t="s">
        <v>7256</v>
      </c>
      <c r="H56" s="204" t="s">
        <v>77</v>
      </c>
      <c r="I56" s="204" t="s">
        <v>7257</v>
      </c>
    </row>
    <row r="57" spans="1:9" x14ac:dyDescent="0.25">
      <c r="A57" s="204" t="s">
        <v>124</v>
      </c>
      <c r="B57" s="9" t="str">
        <f t="shared" si="0"/>
        <v>10134700</v>
      </c>
      <c r="C57" s="9" t="str">
        <f>VLOOKUP(B57,COA!A:B,2,FALSE)</f>
        <v>UPIS - Misc Equipment</v>
      </c>
      <c r="D57" s="338" t="str">
        <f t="shared" si="1"/>
        <v>C3475</v>
      </c>
      <c r="E57" s="338" t="s">
        <v>6870</v>
      </c>
      <c r="F57" s="338" t="s">
        <v>31</v>
      </c>
      <c r="G57" s="338" t="s">
        <v>35</v>
      </c>
      <c r="H57" s="204" t="s">
        <v>77</v>
      </c>
      <c r="I57" s="204" t="s">
        <v>7258</v>
      </c>
    </row>
    <row r="58" spans="1:9" x14ac:dyDescent="0.25">
      <c r="A58" s="204" t="s">
        <v>125</v>
      </c>
      <c r="B58" s="9" t="str">
        <f t="shared" si="0"/>
        <v>10134800</v>
      </c>
      <c r="C58" s="9" t="str">
        <f>VLOOKUP(B58,COA!A:B,2,FALSE)</f>
        <v>UPIS - Other Tangible Property</v>
      </c>
      <c r="D58" s="338" t="str">
        <f t="shared" si="1"/>
        <v>C3485</v>
      </c>
      <c r="E58" s="338" t="s">
        <v>6870</v>
      </c>
      <c r="F58" s="338" t="s">
        <v>31</v>
      </c>
      <c r="G58" s="338" t="s">
        <v>36</v>
      </c>
      <c r="H58" s="204" t="s">
        <v>77</v>
      </c>
      <c r="I58" s="204" t="s">
        <v>7259</v>
      </c>
    </row>
    <row r="59" spans="1:9" x14ac:dyDescent="0.25">
      <c r="A59" s="204" t="s">
        <v>126</v>
      </c>
      <c r="B59" s="9" t="str">
        <f t="shared" si="0"/>
        <v>10135100</v>
      </c>
      <c r="C59" s="9" t="str">
        <f>VLOOKUP(B59,COA!A:B,2,FALSE)</f>
        <v>UPIS - WW Organization</v>
      </c>
      <c r="D59" s="338" t="str">
        <f t="shared" si="1"/>
        <v>C3511</v>
      </c>
      <c r="E59" s="338" t="s">
        <v>6870</v>
      </c>
      <c r="F59" s="338" t="s">
        <v>6957</v>
      </c>
      <c r="G59" s="338" t="s">
        <v>6934</v>
      </c>
      <c r="H59" s="204" t="s">
        <v>77</v>
      </c>
      <c r="I59" s="204" t="s">
        <v>7260</v>
      </c>
    </row>
    <row r="60" spans="1:9" x14ac:dyDescent="0.25">
      <c r="A60" s="204" t="s">
        <v>127</v>
      </c>
      <c r="B60" s="9" t="str">
        <f t="shared" si="0"/>
        <v>10135200</v>
      </c>
      <c r="C60" s="9" t="str">
        <f>VLOOKUP(B60,COA!A:B,2,FALSE)</f>
        <v>UPIS - WW Franchises</v>
      </c>
      <c r="D60" s="338" t="str">
        <f t="shared" si="1"/>
        <v>C3521</v>
      </c>
      <c r="E60" s="338" t="s">
        <v>6870</v>
      </c>
      <c r="F60" s="338" t="s">
        <v>6957</v>
      </c>
      <c r="G60" s="338" t="s">
        <v>6935</v>
      </c>
      <c r="H60" s="204" t="s">
        <v>77</v>
      </c>
      <c r="I60" s="204" t="s">
        <v>7261</v>
      </c>
    </row>
    <row r="61" spans="1:9" x14ac:dyDescent="0.25">
      <c r="A61" s="204" t="s">
        <v>128</v>
      </c>
      <c r="B61" s="9" t="str">
        <f t="shared" si="0"/>
        <v>10135220</v>
      </c>
      <c r="C61" s="9" t="str">
        <f>VLOOKUP(B61,COA!A:B,2,FALSE)</f>
        <v>UPIS - WW Other Intangible</v>
      </c>
      <c r="D61" s="338" t="str">
        <f t="shared" si="1"/>
        <v>C3521</v>
      </c>
      <c r="E61" s="338" t="s">
        <v>6870</v>
      </c>
      <c r="F61" s="338" t="s">
        <v>6957</v>
      </c>
      <c r="G61" s="338" t="s">
        <v>7262</v>
      </c>
      <c r="H61" s="204" t="s">
        <v>77</v>
      </c>
      <c r="I61" s="204" t="s">
        <v>7261</v>
      </c>
    </row>
    <row r="62" spans="1:9" x14ac:dyDescent="0.25">
      <c r="A62" s="204" t="s">
        <v>129</v>
      </c>
      <c r="B62" s="9" t="str">
        <f t="shared" si="0"/>
        <v>10135320</v>
      </c>
      <c r="C62" s="9" t="str">
        <f>VLOOKUP(B62,COA!A:B,2,FALSE)</f>
        <v>UPIS - WW Land &amp; Land Rights - Coll</v>
      </c>
      <c r="D62" s="338" t="str">
        <f t="shared" si="1"/>
        <v>C3532</v>
      </c>
      <c r="E62" s="338" t="s">
        <v>6870</v>
      </c>
      <c r="F62" s="338" t="s">
        <v>6957</v>
      </c>
      <c r="G62" s="338" t="s">
        <v>7263</v>
      </c>
      <c r="H62" s="204" t="s">
        <v>77</v>
      </c>
      <c r="I62" s="204" t="s">
        <v>7264</v>
      </c>
    </row>
    <row r="63" spans="1:9" x14ac:dyDescent="0.25">
      <c r="A63" s="204" t="s">
        <v>130</v>
      </c>
      <c r="B63" s="9" t="str">
        <f t="shared" si="0"/>
        <v>10135330</v>
      </c>
      <c r="C63" s="9" t="str">
        <f>VLOOKUP(B63,COA!A:B,2,FALSE)</f>
        <v>UPIS - WW Land &amp; Land Rights - SPP</v>
      </c>
      <c r="D63" s="338" t="str">
        <f t="shared" si="1"/>
        <v>C3533</v>
      </c>
      <c r="E63" s="338" t="s">
        <v>6870</v>
      </c>
      <c r="F63" s="338" t="s">
        <v>6957</v>
      </c>
      <c r="G63" s="338" t="s">
        <v>7265</v>
      </c>
      <c r="H63" s="204" t="s">
        <v>77</v>
      </c>
      <c r="I63" s="204" t="s">
        <v>7266</v>
      </c>
    </row>
    <row r="64" spans="1:9" x14ac:dyDescent="0.25">
      <c r="A64" s="204" t="s">
        <v>131</v>
      </c>
      <c r="B64" s="9" t="str">
        <f t="shared" si="0"/>
        <v>10135340</v>
      </c>
      <c r="C64" s="9" t="str">
        <f>VLOOKUP(B64,COA!A:B,2,FALSE)</f>
        <v>UPIS - WW Land &amp; Land Rights - TDP</v>
      </c>
      <c r="D64" s="338" t="str">
        <f t="shared" si="1"/>
        <v>C3534</v>
      </c>
      <c r="E64" s="338" t="s">
        <v>6870</v>
      </c>
      <c r="F64" s="338" t="s">
        <v>6957</v>
      </c>
      <c r="G64" s="338" t="s">
        <v>7267</v>
      </c>
      <c r="H64" s="204" t="s">
        <v>77</v>
      </c>
      <c r="I64" s="204" t="s">
        <v>7268</v>
      </c>
    </row>
    <row r="65" spans="1:9" x14ac:dyDescent="0.25">
      <c r="A65" s="204" t="s">
        <v>132</v>
      </c>
      <c r="B65" s="9" t="str">
        <f t="shared" si="0"/>
        <v>10135350</v>
      </c>
      <c r="C65" s="9" t="str">
        <f>VLOOKUP(B65,COA!A:B,2,FALSE)</f>
        <v>UPIS - WW Land &amp; Land Rights - General</v>
      </c>
      <c r="D65" s="338" t="str">
        <f t="shared" si="1"/>
        <v>C3537</v>
      </c>
      <c r="E65" s="338" t="s">
        <v>6870</v>
      </c>
      <c r="F65" s="338" t="s">
        <v>6957</v>
      </c>
      <c r="G65" s="338" t="s">
        <v>7269</v>
      </c>
      <c r="H65" s="204" t="s">
        <v>77</v>
      </c>
      <c r="I65" s="204" t="s">
        <v>7270</v>
      </c>
    </row>
    <row r="66" spans="1:9" x14ac:dyDescent="0.25">
      <c r="A66" s="204" t="s">
        <v>133</v>
      </c>
      <c r="B66" s="9" t="str">
        <f t="shared" si="0"/>
        <v>10135420</v>
      </c>
      <c r="C66" s="9" t="str">
        <f>VLOOKUP(B66,COA!A:B,2,FALSE)</f>
        <v>UPIS - WW Struct &amp; Imp - Coll</v>
      </c>
      <c r="D66" s="338" t="str">
        <f t="shared" si="1"/>
        <v>C3542</v>
      </c>
      <c r="E66" s="338" t="s">
        <v>6870</v>
      </c>
      <c r="F66" s="338" t="s">
        <v>6957</v>
      </c>
      <c r="G66" s="338" t="s">
        <v>7271</v>
      </c>
      <c r="H66" s="204" t="s">
        <v>77</v>
      </c>
      <c r="I66" s="204" t="s">
        <v>7272</v>
      </c>
    </row>
    <row r="67" spans="1:9" x14ac:dyDescent="0.25">
      <c r="A67" s="204" t="s">
        <v>134</v>
      </c>
      <c r="B67" s="9" t="str">
        <f t="shared" si="0"/>
        <v>10135430</v>
      </c>
      <c r="C67" s="9" t="str">
        <f>VLOOKUP(B67,COA!A:B,2,FALSE)</f>
        <v>UPIS - WW Struct &amp; Imp - SPP</v>
      </c>
      <c r="D67" s="338" t="str">
        <f t="shared" si="1"/>
        <v>C3543</v>
      </c>
      <c r="E67" s="338" t="s">
        <v>6870</v>
      </c>
      <c r="F67" s="338" t="s">
        <v>6957</v>
      </c>
      <c r="G67" s="338" t="s">
        <v>7273</v>
      </c>
      <c r="H67" s="204" t="s">
        <v>77</v>
      </c>
      <c r="I67" s="204" t="s">
        <v>7274</v>
      </c>
    </row>
    <row r="68" spans="1:9" x14ac:dyDescent="0.25">
      <c r="A68" s="204" t="s">
        <v>135</v>
      </c>
      <c r="B68" s="9" t="str">
        <f t="shared" si="0"/>
        <v>10135440</v>
      </c>
      <c r="C68" s="9" t="str">
        <f>VLOOKUP(B68,COA!A:B,2,FALSE)</f>
        <v>UPIS - WW Struct &amp; Imp - TDP</v>
      </c>
      <c r="D68" s="338" t="str">
        <f t="shared" si="1"/>
        <v>C3544</v>
      </c>
      <c r="E68" s="338" t="s">
        <v>6870</v>
      </c>
      <c r="F68" s="338" t="s">
        <v>6957</v>
      </c>
      <c r="G68" s="338" t="s">
        <v>7275</v>
      </c>
      <c r="H68" s="204" t="s">
        <v>77</v>
      </c>
      <c r="I68" s="204" t="s">
        <v>7276</v>
      </c>
    </row>
    <row r="69" spans="1:9" x14ac:dyDescent="0.25">
      <c r="A69" s="204" t="s">
        <v>136</v>
      </c>
      <c r="B69" s="9" t="str">
        <f t="shared" si="0"/>
        <v>10135450</v>
      </c>
      <c r="C69" s="9" t="str">
        <f>VLOOKUP(B69,COA!A:B,2,FALSE)</f>
        <v>UPIS - WW Struct &amp; Imp - General</v>
      </c>
      <c r="D69" s="338" t="str">
        <f t="shared" si="1"/>
        <v>C3547</v>
      </c>
      <c r="E69" s="338" t="s">
        <v>6870</v>
      </c>
      <c r="F69" s="338" t="s">
        <v>6957</v>
      </c>
      <c r="G69" s="338" t="s">
        <v>7277</v>
      </c>
      <c r="H69" s="204" t="s">
        <v>77</v>
      </c>
      <c r="I69" s="204" t="s">
        <v>7278</v>
      </c>
    </row>
    <row r="70" spans="1:9" x14ac:dyDescent="0.25">
      <c r="A70" s="204" t="s">
        <v>137</v>
      </c>
      <c r="B70" s="9" t="str">
        <f t="shared" si="0"/>
        <v>10135520</v>
      </c>
      <c r="C70" s="9" t="str">
        <f>VLOOKUP(B70,COA!A:B,2,FALSE)</f>
        <v>UPIS - WW Pwr Gen Equipment -  Col</v>
      </c>
      <c r="D70" s="338" t="str">
        <f t="shared" si="1"/>
        <v>C3552</v>
      </c>
      <c r="E70" s="338" t="s">
        <v>6870</v>
      </c>
      <c r="F70" s="338" t="s">
        <v>6957</v>
      </c>
      <c r="G70" s="338" t="s">
        <v>7279</v>
      </c>
      <c r="H70" s="204" t="s">
        <v>77</v>
      </c>
      <c r="I70" s="204" t="s">
        <v>7280</v>
      </c>
    </row>
    <row r="71" spans="1:9" x14ac:dyDescent="0.25">
      <c r="A71" s="204" t="s">
        <v>138</v>
      </c>
      <c r="B71" s="9" t="str">
        <f t="shared" si="0"/>
        <v>10135530</v>
      </c>
      <c r="C71" s="9" t="str">
        <f>VLOOKUP(B71,COA!A:B,2,FALSE)</f>
        <v>UPIS - WW Pwr Gen Equipment -  SPP</v>
      </c>
      <c r="D71" s="338" t="str">
        <f t="shared" si="1"/>
        <v>C3553</v>
      </c>
      <c r="E71" s="338" t="s">
        <v>6870</v>
      </c>
      <c r="F71" s="338" t="s">
        <v>6957</v>
      </c>
      <c r="G71" s="338" t="s">
        <v>7281</v>
      </c>
      <c r="H71" s="204" t="s">
        <v>77</v>
      </c>
      <c r="I71" s="204" t="s">
        <v>7282</v>
      </c>
    </row>
    <row r="72" spans="1:9" x14ac:dyDescent="0.25">
      <c r="A72" s="204" t="s">
        <v>139</v>
      </c>
      <c r="B72" s="9" t="str">
        <f t="shared" si="0"/>
        <v>10135540</v>
      </c>
      <c r="C72" s="9" t="str">
        <f>VLOOKUP(B72,COA!A:B,2,FALSE)</f>
        <v>UPIS - WW Pwr Gen Equipment -  TDP</v>
      </c>
      <c r="D72" s="338" t="str">
        <f t="shared" si="1"/>
        <v>C3554</v>
      </c>
      <c r="E72" s="338" t="s">
        <v>6870</v>
      </c>
      <c r="F72" s="338" t="s">
        <v>6957</v>
      </c>
      <c r="G72" s="338" t="s">
        <v>7283</v>
      </c>
      <c r="H72" s="204" t="s">
        <v>77</v>
      </c>
      <c r="I72" s="204" t="s">
        <v>7284</v>
      </c>
    </row>
    <row r="73" spans="1:9" x14ac:dyDescent="0.25">
      <c r="A73" s="204" t="s">
        <v>140</v>
      </c>
      <c r="B73" s="9" t="str">
        <f t="shared" si="0"/>
        <v>10135550</v>
      </c>
      <c r="C73" s="9" t="str">
        <f>VLOOKUP(B73,COA!A:B,2,FALSE)</f>
        <v>UPIS - WW Pwr Gen Equipment -  RWT</v>
      </c>
      <c r="D73" s="338" t="str">
        <f t="shared" si="1"/>
        <v>C3555</v>
      </c>
      <c r="E73" s="338" t="s">
        <v>6870</v>
      </c>
      <c r="F73" s="338" t="s">
        <v>6957</v>
      </c>
      <c r="G73" s="338" t="s">
        <v>7285</v>
      </c>
      <c r="H73" s="204" t="s">
        <v>77</v>
      </c>
      <c r="I73" s="204" t="s">
        <v>7286</v>
      </c>
    </row>
    <row r="74" spans="1:9" x14ac:dyDescent="0.25">
      <c r="A74" s="204" t="s">
        <v>141</v>
      </c>
      <c r="B74" s="9" t="str">
        <f t="shared" ref="B74:B137" si="2">RIGHT(A74,8)</f>
        <v>10135560</v>
      </c>
      <c r="C74" s="9" t="str">
        <f>VLOOKUP(B74,COA!A:B,2,FALSE)</f>
        <v>UPIS - WW Pwr Gen Equipment -  RWD</v>
      </c>
      <c r="D74" s="338" t="str">
        <f t="shared" si="1"/>
        <v>C3556</v>
      </c>
      <c r="E74" s="338" t="s">
        <v>6870</v>
      </c>
      <c r="F74" s="338" t="s">
        <v>6957</v>
      </c>
      <c r="G74" s="338" t="s">
        <v>7287</v>
      </c>
      <c r="H74" s="204" t="s">
        <v>77</v>
      </c>
      <c r="I74" s="204" t="s">
        <v>7288</v>
      </c>
    </row>
    <row r="75" spans="1:9" x14ac:dyDescent="0.25">
      <c r="A75" s="204" t="s">
        <v>142</v>
      </c>
      <c r="B75" s="9" t="str">
        <f t="shared" si="2"/>
        <v>10136000</v>
      </c>
      <c r="C75" s="9" t="str">
        <f>VLOOKUP(B75,COA!A:B,2,FALSE)</f>
        <v>UPIS - WW Collection Sewers</v>
      </c>
      <c r="D75" s="338" t="str">
        <f t="shared" ref="D75:D138" si="3">+I75</f>
        <v>C3602</v>
      </c>
      <c r="E75" s="338" t="s">
        <v>6870</v>
      </c>
      <c r="F75" s="338" t="s">
        <v>6957</v>
      </c>
      <c r="G75" s="338" t="s">
        <v>7289</v>
      </c>
      <c r="H75" s="204" t="s">
        <v>77</v>
      </c>
      <c r="I75" s="204" t="s">
        <v>7290</v>
      </c>
    </row>
    <row r="76" spans="1:9" x14ac:dyDescent="0.25">
      <c r="A76" s="204" t="s">
        <v>143</v>
      </c>
      <c r="B76" s="9" t="str">
        <f t="shared" si="2"/>
        <v>10136110</v>
      </c>
      <c r="C76" s="9" t="str">
        <f>VLOOKUP(B76,COA!A:B,2,FALSE)</f>
        <v>UPIS - WW Collecting Mains</v>
      </c>
      <c r="D76" s="338" t="str">
        <f t="shared" si="3"/>
        <v>C3612</v>
      </c>
      <c r="E76" s="338" t="s">
        <v>6870</v>
      </c>
      <c r="F76" s="338" t="s">
        <v>6957</v>
      </c>
      <c r="G76" s="338" t="s">
        <v>6936</v>
      </c>
      <c r="H76" s="204" t="s">
        <v>77</v>
      </c>
      <c r="I76" s="204" t="s">
        <v>7291</v>
      </c>
    </row>
    <row r="77" spans="1:9" x14ac:dyDescent="0.25">
      <c r="A77" s="204" t="s">
        <v>144</v>
      </c>
      <c r="B77" s="9" t="str">
        <f t="shared" si="2"/>
        <v>10136200</v>
      </c>
      <c r="C77" s="9" t="str">
        <f>VLOOKUP(B77,COA!A:B,2,FALSE)</f>
        <v>UPIS - WW Special Coll Struct</v>
      </c>
      <c r="D77" s="338" t="str">
        <f t="shared" si="3"/>
        <v>C3622</v>
      </c>
      <c r="E77" s="338" t="s">
        <v>6870</v>
      </c>
      <c r="F77" s="338" t="s">
        <v>6957</v>
      </c>
      <c r="G77" s="338" t="s">
        <v>6943</v>
      </c>
      <c r="H77" s="204" t="s">
        <v>77</v>
      </c>
      <c r="I77" s="204" t="s">
        <v>7292</v>
      </c>
    </row>
    <row r="78" spans="1:9" x14ac:dyDescent="0.25">
      <c r="A78" s="204" t="s">
        <v>145</v>
      </c>
      <c r="B78" s="9" t="str">
        <f t="shared" si="2"/>
        <v>10136300</v>
      </c>
      <c r="C78" s="9" t="str">
        <f>VLOOKUP(B78,COA!A:B,2,FALSE)</f>
        <v>UPIS - WW Services Sewer</v>
      </c>
      <c r="D78" s="338" t="str">
        <f t="shared" si="3"/>
        <v>C3632</v>
      </c>
      <c r="E78" s="338" t="s">
        <v>6870</v>
      </c>
      <c r="F78" s="338" t="s">
        <v>6957</v>
      </c>
      <c r="G78" s="338" t="s">
        <v>6942</v>
      </c>
      <c r="H78" s="204" t="s">
        <v>77</v>
      </c>
      <c r="I78" s="204" t="s">
        <v>7293</v>
      </c>
    </row>
    <row r="79" spans="1:9" x14ac:dyDescent="0.25">
      <c r="A79" s="204" t="s">
        <v>146</v>
      </c>
      <c r="B79" s="9" t="str">
        <f t="shared" si="2"/>
        <v>10136400</v>
      </c>
      <c r="C79" s="9" t="str">
        <f>VLOOKUP(B79,COA!A:B,2,FALSE)</f>
        <v>UPIS - WW Flow Measuring Device</v>
      </c>
      <c r="D79" s="338" t="str">
        <f t="shared" si="3"/>
        <v>C3642</v>
      </c>
      <c r="E79" s="338" t="s">
        <v>6870</v>
      </c>
      <c r="F79" s="338" t="s">
        <v>6957</v>
      </c>
      <c r="G79" s="338" t="s">
        <v>7294</v>
      </c>
      <c r="H79" s="204" t="s">
        <v>77</v>
      </c>
      <c r="I79" s="204" t="s">
        <v>7295</v>
      </c>
    </row>
    <row r="80" spans="1:9" x14ac:dyDescent="0.25">
      <c r="A80" s="204" t="s">
        <v>147</v>
      </c>
      <c r="B80" s="9" t="str">
        <f t="shared" si="2"/>
        <v>10136500</v>
      </c>
      <c r="C80" s="9" t="str">
        <f>VLOOKUP(B80,COA!A:B,2,FALSE)</f>
        <v>UPIS - WW Flow Measuring Install</v>
      </c>
      <c r="D80" s="338" t="str">
        <f t="shared" si="3"/>
        <v>C3652</v>
      </c>
      <c r="E80" s="338" t="s">
        <v>6870</v>
      </c>
      <c r="F80" s="338" t="s">
        <v>6957</v>
      </c>
      <c r="G80" s="338" t="s">
        <v>7296</v>
      </c>
      <c r="H80" s="204" t="s">
        <v>77</v>
      </c>
      <c r="I80" s="204" t="s">
        <v>7297</v>
      </c>
    </row>
    <row r="81" spans="1:9" x14ac:dyDescent="0.25">
      <c r="A81" s="204" t="s">
        <v>148</v>
      </c>
      <c r="B81" s="9" t="str">
        <f t="shared" si="2"/>
        <v>10137000</v>
      </c>
      <c r="C81" s="9" t="str">
        <f>VLOOKUP(B81,COA!A:B,2,FALSE)</f>
        <v>UPIS - WW Receiving Wells</v>
      </c>
      <c r="D81" s="338" t="str">
        <f t="shared" si="3"/>
        <v>C3703</v>
      </c>
      <c r="E81" s="338" t="s">
        <v>6870</v>
      </c>
      <c r="F81" s="338" t="s">
        <v>6957</v>
      </c>
      <c r="G81" s="338" t="s">
        <v>6941</v>
      </c>
      <c r="H81" s="204" t="s">
        <v>77</v>
      </c>
      <c r="I81" s="204" t="s">
        <v>7298</v>
      </c>
    </row>
    <row r="82" spans="1:9" x14ac:dyDescent="0.25">
      <c r="A82" s="204" t="s">
        <v>149</v>
      </c>
      <c r="B82" s="9" t="str">
        <f t="shared" si="2"/>
        <v>10137110</v>
      </c>
      <c r="C82" s="9" t="str">
        <f>VLOOKUP(B82,COA!A:B,2,FALSE)</f>
        <v>UPIS - WW Pump Equipment - Elect</v>
      </c>
      <c r="D82" s="338" t="str">
        <f t="shared" si="3"/>
        <v>C3713</v>
      </c>
      <c r="E82" s="338" t="s">
        <v>6870</v>
      </c>
      <c r="F82" s="338" t="s">
        <v>6957</v>
      </c>
      <c r="G82" s="338" t="s">
        <v>7299</v>
      </c>
      <c r="H82" s="204" t="s">
        <v>77</v>
      </c>
      <c r="I82" s="204" t="s">
        <v>7300</v>
      </c>
    </row>
    <row r="83" spans="1:9" x14ac:dyDescent="0.25">
      <c r="A83" s="204" t="s">
        <v>150</v>
      </c>
      <c r="B83" s="9" t="str">
        <f t="shared" si="2"/>
        <v>10137120</v>
      </c>
      <c r="C83" s="9" t="str">
        <f>VLOOKUP(B83,COA!A:B,2,FALSE)</f>
        <v>UPIS - WW Pump Equipment - Oth Pwr</v>
      </c>
      <c r="D83" s="338" t="str">
        <f t="shared" si="3"/>
        <v>C3713</v>
      </c>
      <c r="E83" s="338" t="s">
        <v>6870</v>
      </c>
      <c r="F83" s="338" t="s">
        <v>6957</v>
      </c>
      <c r="G83" s="338" t="s">
        <v>7301</v>
      </c>
      <c r="H83" s="204" t="s">
        <v>77</v>
      </c>
      <c r="I83" s="204" t="s">
        <v>7300</v>
      </c>
    </row>
    <row r="84" spans="1:9" x14ac:dyDescent="0.25">
      <c r="A84" s="204" t="s">
        <v>151</v>
      </c>
      <c r="B84" s="9" t="str">
        <f t="shared" si="2"/>
        <v>10138000</v>
      </c>
      <c r="C84" s="9" t="str">
        <f>VLOOKUP(B84,COA!A:B,2,FALSE)</f>
        <v>UPIS - WW - Transmission &amp; D244Distribution Equip</v>
      </c>
      <c r="D84" s="338" t="str">
        <f t="shared" si="3"/>
        <v>C3804</v>
      </c>
      <c r="E84" s="338" t="s">
        <v>6870</v>
      </c>
      <c r="F84" s="338" t="s">
        <v>6957</v>
      </c>
      <c r="G84" s="338" t="s">
        <v>7302</v>
      </c>
      <c r="H84" s="204" t="s">
        <v>77</v>
      </c>
      <c r="I84" s="204" t="s">
        <v>7303</v>
      </c>
    </row>
    <row r="85" spans="1:9" x14ac:dyDescent="0.25">
      <c r="A85" s="204" t="s">
        <v>152</v>
      </c>
      <c r="B85" s="9" t="str">
        <f t="shared" si="2"/>
        <v>10138100</v>
      </c>
      <c r="C85" s="9" t="str">
        <f>VLOOKUP(B85,COA!A:B,2,FALSE)</f>
        <v>UPIS - WW Plant Sewers</v>
      </c>
      <c r="D85" s="338" t="str">
        <f t="shared" si="3"/>
        <v>C3814</v>
      </c>
      <c r="E85" s="338" t="s">
        <v>6870</v>
      </c>
      <c r="F85" s="338" t="s">
        <v>6957</v>
      </c>
      <c r="G85" s="338" t="s">
        <v>6940</v>
      </c>
      <c r="H85" s="204" t="s">
        <v>77</v>
      </c>
      <c r="I85" s="204" t="s">
        <v>7304</v>
      </c>
    </row>
    <row r="86" spans="1:9" x14ac:dyDescent="0.25">
      <c r="A86" s="204" t="s">
        <v>153</v>
      </c>
      <c r="B86" s="9" t="str">
        <f t="shared" si="2"/>
        <v>10138200</v>
      </c>
      <c r="C86" s="9" t="str">
        <f>VLOOKUP(B86,COA!A:B,2,FALSE)</f>
        <v>UPIS - WW Outfall Sewer Line</v>
      </c>
      <c r="D86" s="338" t="str">
        <f t="shared" si="3"/>
        <v>C3824</v>
      </c>
      <c r="E86" s="338" t="s">
        <v>6870</v>
      </c>
      <c r="F86" s="338" t="s">
        <v>6957</v>
      </c>
      <c r="G86" s="338" t="s">
        <v>7305</v>
      </c>
      <c r="H86" s="204" t="s">
        <v>77</v>
      </c>
      <c r="I86" s="204" t="s">
        <v>7306</v>
      </c>
    </row>
    <row r="87" spans="1:9" x14ac:dyDescent="0.25">
      <c r="A87" s="204" t="s">
        <v>154</v>
      </c>
      <c r="B87" s="9" t="str">
        <f t="shared" si="2"/>
        <v>10138910</v>
      </c>
      <c r="C87" s="9" t="str">
        <f>VLOOKUP(B87,COA!A:B,2,FALSE)</f>
        <v>UPIS - WW Oth Plant &amp; Misc Equipment</v>
      </c>
      <c r="D87" s="338" t="str">
        <f t="shared" si="3"/>
        <v>C3891</v>
      </c>
      <c r="E87" s="338" t="s">
        <v>6870</v>
      </c>
      <c r="F87" s="338" t="s">
        <v>6957</v>
      </c>
      <c r="G87" s="338" t="s">
        <v>7307</v>
      </c>
      <c r="H87" s="204" t="s">
        <v>77</v>
      </c>
      <c r="I87" s="204" t="s">
        <v>7308</v>
      </c>
    </row>
    <row r="88" spans="1:9" x14ac:dyDescent="0.25">
      <c r="A88" s="204" t="s">
        <v>155</v>
      </c>
      <c r="B88" s="9" t="str">
        <f t="shared" si="2"/>
        <v>10138920</v>
      </c>
      <c r="C88" s="9" t="str">
        <f>VLOOKUP(B88,COA!A:B,2,FALSE)</f>
        <v>UPIS - WW Oth Plant &amp; Misc Equipment - Coll</v>
      </c>
      <c r="D88" s="338" t="str">
        <f t="shared" si="3"/>
        <v>C3892</v>
      </c>
      <c r="E88" s="338" t="s">
        <v>6870</v>
      </c>
      <c r="F88" s="338" t="s">
        <v>6957</v>
      </c>
      <c r="G88" s="338" t="s">
        <v>7309</v>
      </c>
      <c r="H88" s="204" t="s">
        <v>77</v>
      </c>
      <c r="I88" s="204" t="s">
        <v>7310</v>
      </c>
    </row>
    <row r="89" spans="1:9" x14ac:dyDescent="0.25">
      <c r="A89" s="204" t="s">
        <v>156</v>
      </c>
      <c r="B89" s="9" t="str">
        <f t="shared" si="2"/>
        <v>10138930</v>
      </c>
      <c r="C89" s="9" t="str">
        <f>VLOOKUP(B89,COA!A:B,2,FALSE)</f>
        <v>UPIS - WW Oth Plant &amp; Misc Equipment - SPP</v>
      </c>
      <c r="D89" s="338" t="str">
        <f t="shared" si="3"/>
        <v>C3893</v>
      </c>
      <c r="E89" s="338" t="s">
        <v>6870</v>
      </c>
      <c r="F89" s="338" t="s">
        <v>6957</v>
      </c>
      <c r="G89" s="338" t="s">
        <v>7311</v>
      </c>
      <c r="H89" s="204" t="s">
        <v>77</v>
      </c>
      <c r="I89" s="204" t="s">
        <v>7312</v>
      </c>
    </row>
    <row r="90" spans="1:9" x14ac:dyDescent="0.25">
      <c r="A90" s="204" t="s">
        <v>157</v>
      </c>
      <c r="B90" s="9" t="str">
        <f t="shared" si="2"/>
        <v>10138940</v>
      </c>
      <c r="C90" s="9" t="str">
        <f>VLOOKUP(B90,COA!A:B,2,FALSE)</f>
        <v>UPIS - WW Oth Plant &amp; Misc Equipment - TDP</v>
      </c>
      <c r="D90" s="338" t="str">
        <f t="shared" si="3"/>
        <v>C3894</v>
      </c>
      <c r="E90" s="338" t="s">
        <v>6870</v>
      </c>
      <c r="F90" s="338" t="s">
        <v>6957</v>
      </c>
      <c r="G90" s="338" t="s">
        <v>7313</v>
      </c>
      <c r="H90" s="204" t="s">
        <v>77</v>
      </c>
      <c r="I90" s="204" t="s">
        <v>7314</v>
      </c>
    </row>
    <row r="91" spans="1:9" x14ac:dyDescent="0.25">
      <c r="A91" s="204" t="s">
        <v>158</v>
      </c>
      <c r="B91" s="9" t="str">
        <f t="shared" si="2"/>
        <v>10139000</v>
      </c>
      <c r="C91" s="9" t="str">
        <f>VLOOKUP(B91,COA!A:B,2,FALSE)</f>
        <v>UPIS - WW Office Furniture</v>
      </c>
      <c r="D91" s="338" t="str">
        <f t="shared" si="3"/>
        <v>C3907</v>
      </c>
      <c r="E91" s="338" t="s">
        <v>6870</v>
      </c>
      <c r="F91" s="338" t="s">
        <v>6957</v>
      </c>
      <c r="G91" s="338" t="s">
        <v>7315</v>
      </c>
      <c r="H91" s="204" t="s">
        <v>77</v>
      </c>
      <c r="I91" s="204" t="s">
        <v>7316</v>
      </c>
    </row>
    <row r="92" spans="1:9" x14ac:dyDescent="0.25">
      <c r="A92" s="204" t="s">
        <v>159</v>
      </c>
      <c r="B92" s="9" t="str">
        <f t="shared" si="2"/>
        <v>10139100</v>
      </c>
      <c r="C92" s="9" t="str">
        <f>VLOOKUP(B92,COA!A:B,2,FALSE)</f>
        <v>UPIS - WW Transportation Equipment</v>
      </c>
      <c r="D92" s="338" t="str">
        <f t="shared" si="3"/>
        <v>C3917</v>
      </c>
      <c r="E92" s="338" t="s">
        <v>6870</v>
      </c>
      <c r="F92" s="338" t="s">
        <v>6957</v>
      </c>
      <c r="G92" s="338" t="s">
        <v>7317</v>
      </c>
      <c r="H92" s="204" t="s">
        <v>77</v>
      </c>
      <c r="I92" s="204" t="s">
        <v>7318</v>
      </c>
    </row>
    <row r="93" spans="1:9" x14ac:dyDescent="0.25">
      <c r="A93" s="204" t="s">
        <v>160</v>
      </c>
      <c r="B93" s="9" t="str">
        <f t="shared" si="2"/>
        <v>10139200</v>
      </c>
      <c r="C93" s="9" t="str">
        <f>VLOOKUP(B93,COA!A:B,2,FALSE)</f>
        <v>UPIS - WW Stores Equipment</v>
      </c>
      <c r="D93" s="338" t="str">
        <f t="shared" si="3"/>
        <v>C3927</v>
      </c>
      <c r="E93" s="338" t="s">
        <v>6870</v>
      </c>
      <c r="F93" s="338" t="s">
        <v>6957</v>
      </c>
      <c r="G93" s="338" t="s">
        <v>6953</v>
      </c>
      <c r="H93" s="204" t="s">
        <v>77</v>
      </c>
      <c r="I93" s="204" t="s">
        <v>7319</v>
      </c>
    </row>
    <row r="94" spans="1:9" x14ac:dyDescent="0.25">
      <c r="A94" s="204" t="s">
        <v>161</v>
      </c>
      <c r="B94" s="9" t="str">
        <f t="shared" si="2"/>
        <v>10139300</v>
      </c>
      <c r="C94" s="9" t="str">
        <f>VLOOKUP(B94,COA!A:B,2,FALSE)</f>
        <v>UPIS - WW Tool Shop &amp; Garage</v>
      </c>
      <c r="D94" s="338" t="str">
        <f t="shared" si="3"/>
        <v>C3937</v>
      </c>
      <c r="E94" s="338" t="s">
        <v>6870</v>
      </c>
      <c r="F94" s="338" t="s">
        <v>6957</v>
      </c>
      <c r="G94" s="338" t="s">
        <v>7320</v>
      </c>
      <c r="H94" s="204" t="s">
        <v>77</v>
      </c>
      <c r="I94" s="204" t="s">
        <v>7321</v>
      </c>
    </row>
    <row r="95" spans="1:9" x14ac:dyDescent="0.25">
      <c r="A95" s="204" t="s">
        <v>162</v>
      </c>
      <c r="B95" s="9" t="str">
        <f t="shared" si="2"/>
        <v>10139400</v>
      </c>
      <c r="C95" s="9" t="str">
        <f>VLOOKUP(B95,COA!A:B,2,FALSE)</f>
        <v>UPIS - WW Laboratory Equipment</v>
      </c>
      <c r="D95" s="338" t="str">
        <f t="shared" si="3"/>
        <v>C3947</v>
      </c>
      <c r="E95" s="338" t="s">
        <v>6870</v>
      </c>
      <c r="F95" s="338" t="s">
        <v>6957</v>
      </c>
      <c r="G95" s="338" t="s">
        <v>6938</v>
      </c>
      <c r="H95" s="204" t="s">
        <v>77</v>
      </c>
      <c r="I95" s="204" t="s">
        <v>7322</v>
      </c>
    </row>
    <row r="96" spans="1:9" x14ac:dyDescent="0.25">
      <c r="A96" s="204" t="s">
        <v>163</v>
      </c>
      <c r="B96" s="9" t="str">
        <f t="shared" si="2"/>
        <v>10139500</v>
      </c>
      <c r="C96" s="9" t="str">
        <f>VLOOKUP(B96,COA!A:B,2,FALSE)</f>
        <v>UPIS - WW Power Operated Equipment</v>
      </c>
      <c r="D96" s="338" t="str">
        <f t="shared" si="3"/>
        <v>C3957</v>
      </c>
      <c r="E96" s="338" t="s">
        <v>6870</v>
      </c>
      <c r="F96" s="338" t="s">
        <v>6957</v>
      </c>
      <c r="G96" s="338" t="s">
        <v>7323</v>
      </c>
      <c r="H96" s="204" t="s">
        <v>77</v>
      </c>
      <c r="I96" s="204" t="s">
        <v>7324</v>
      </c>
    </row>
    <row r="97" spans="1:9" x14ac:dyDescent="0.25">
      <c r="A97" s="204" t="s">
        <v>164</v>
      </c>
      <c r="B97" s="9" t="str">
        <f t="shared" si="2"/>
        <v>10139600</v>
      </c>
      <c r="C97" s="9" t="str">
        <f>VLOOKUP(B97,COA!A:B,2,FALSE)</f>
        <v>UPIS - WW Communication Equipment</v>
      </c>
      <c r="D97" s="338" t="str">
        <f t="shared" si="3"/>
        <v>C3967</v>
      </c>
      <c r="E97" s="338" t="s">
        <v>6870</v>
      </c>
      <c r="F97" s="338" t="s">
        <v>6957</v>
      </c>
      <c r="G97" s="338" t="s">
        <v>7325</v>
      </c>
      <c r="H97" s="204" t="s">
        <v>77</v>
      </c>
      <c r="I97" s="204" t="s">
        <v>7326</v>
      </c>
    </row>
    <row r="98" spans="1:9" x14ac:dyDescent="0.25">
      <c r="A98" s="204" t="s">
        <v>165</v>
      </c>
      <c r="B98" s="9" t="str">
        <f t="shared" si="2"/>
        <v>10139700</v>
      </c>
      <c r="C98" s="9" t="str">
        <f>VLOOKUP(B98,COA!A:B,2,FALSE)</f>
        <v>UPIS - WW Misc Equipment</v>
      </c>
      <c r="D98" s="338" t="str">
        <f t="shared" si="3"/>
        <v>C3977</v>
      </c>
      <c r="E98" s="338" t="s">
        <v>6870</v>
      </c>
      <c r="F98" s="338" t="s">
        <v>6957</v>
      </c>
      <c r="G98" s="338" t="s">
        <v>6939</v>
      </c>
      <c r="H98" s="204" t="s">
        <v>77</v>
      </c>
      <c r="I98" s="204" t="s">
        <v>7327</v>
      </c>
    </row>
    <row r="99" spans="1:9" x14ac:dyDescent="0.25">
      <c r="A99" s="204" t="s">
        <v>166</v>
      </c>
      <c r="B99" s="9" t="str">
        <f t="shared" si="2"/>
        <v>10139800</v>
      </c>
      <c r="C99" s="9" t="str">
        <f>VLOOKUP(B99,COA!A:B,2,FALSE)</f>
        <v>UPIS - WW Other Tangible Pl</v>
      </c>
      <c r="D99" s="338" t="str">
        <f t="shared" si="3"/>
        <v>C3987</v>
      </c>
      <c r="E99" s="338" t="s">
        <v>6870</v>
      </c>
      <c r="F99" s="338" t="s">
        <v>6957</v>
      </c>
      <c r="G99" s="338" t="s">
        <v>7328</v>
      </c>
      <c r="H99" s="204" t="s">
        <v>77</v>
      </c>
      <c r="I99" s="204" t="s">
        <v>7329</v>
      </c>
    </row>
    <row r="100" spans="1:9" x14ac:dyDescent="0.25">
      <c r="A100" s="204" t="s">
        <v>167</v>
      </c>
      <c r="B100" s="9" t="str">
        <f t="shared" si="2"/>
        <v>10190000</v>
      </c>
      <c r="C100" s="9" t="str">
        <f>VLOOKUP(B100,COA!A:B,2,FALSE)</f>
        <v>Reg Asset-AFUDC-Debt</v>
      </c>
      <c r="D100" s="338" t="str">
        <f t="shared" si="3"/>
        <v>C101</v>
      </c>
      <c r="E100" s="338" t="s">
        <v>6932</v>
      </c>
      <c r="F100" s="338" t="s">
        <v>6871</v>
      </c>
      <c r="G100" s="338">
        <v>0</v>
      </c>
      <c r="H100" s="204" t="s">
        <v>77</v>
      </c>
      <c r="I100" s="204" t="s">
        <v>7330</v>
      </c>
    </row>
    <row r="101" spans="1:9" x14ac:dyDescent="0.25">
      <c r="A101" s="204" t="s">
        <v>168</v>
      </c>
      <c r="B101" s="9" t="str">
        <f t="shared" si="2"/>
        <v>10230100</v>
      </c>
      <c r="C101" s="9" t="str">
        <f>VLOOKUP(B101,COA!A:B,2,FALSE)</f>
        <v>Leased - Organization</v>
      </c>
      <c r="D101" s="338" t="str">
        <f t="shared" si="3"/>
        <v>C3011</v>
      </c>
      <c r="E101" s="338" t="s">
        <v>6933</v>
      </c>
      <c r="F101" s="338" t="s">
        <v>6872</v>
      </c>
      <c r="G101" s="338" t="s">
        <v>21</v>
      </c>
      <c r="H101" s="204" t="s">
        <v>77</v>
      </c>
      <c r="I101" s="204" t="s">
        <v>7187</v>
      </c>
    </row>
    <row r="102" spans="1:9" x14ac:dyDescent="0.25">
      <c r="A102" s="204" t="s">
        <v>169</v>
      </c>
      <c r="B102" s="9" t="str">
        <f t="shared" si="2"/>
        <v>10230320</v>
      </c>
      <c r="C102" s="9" t="str">
        <f>VLOOKUP(B102,COA!A:B,2,FALSE)</f>
        <v>Leased - Land &amp; Land Rights - Source of Supply</v>
      </c>
      <c r="D102" s="338" t="str">
        <f t="shared" si="3"/>
        <v>C3032</v>
      </c>
      <c r="E102" s="338" t="s">
        <v>6933</v>
      </c>
      <c r="F102" s="338" t="s">
        <v>6872</v>
      </c>
      <c r="G102" s="338">
        <v>0</v>
      </c>
      <c r="H102" s="204" t="s">
        <v>77</v>
      </c>
      <c r="I102" s="204" t="s">
        <v>7190</v>
      </c>
    </row>
    <row r="103" spans="1:9" x14ac:dyDescent="0.25">
      <c r="A103" s="204" t="s">
        <v>170</v>
      </c>
      <c r="B103" s="9" t="str">
        <f t="shared" si="2"/>
        <v>10230330</v>
      </c>
      <c r="C103" s="9" t="str">
        <f>VLOOKUP(B103,COA!A:B,2,FALSE)</f>
        <v>Leased - Land &amp; Land Rights - Pumping</v>
      </c>
      <c r="D103" s="338" t="str">
        <f t="shared" si="3"/>
        <v>C3032</v>
      </c>
      <c r="E103" s="338" t="s">
        <v>6933</v>
      </c>
      <c r="F103" s="338" t="s">
        <v>6872</v>
      </c>
      <c r="G103" s="338">
        <v>0</v>
      </c>
      <c r="H103" s="204" t="s">
        <v>77</v>
      </c>
      <c r="I103" s="204" t="s">
        <v>7190</v>
      </c>
    </row>
    <row r="104" spans="1:9" x14ac:dyDescent="0.25">
      <c r="A104" s="204" t="s">
        <v>171</v>
      </c>
      <c r="B104" s="9" t="str">
        <f t="shared" si="2"/>
        <v>10230340</v>
      </c>
      <c r="C104" s="9" t="str">
        <f>VLOOKUP(B104,COA!A:B,2,FALSE)</f>
        <v>Leased - Land &amp; Land Rights - Water Treatment</v>
      </c>
      <c r="D104" s="338" t="str">
        <f t="shared" si="3"/>
        <v>C3033</v>
      </c>
      <c r="E104" s="338" t="s">
        <v>6933</v>
      </c>
      <c r="F104" s="338" t="s">
        <v>6872</v>
      </c>
      <c r="G104" s="338">
        <v>0</v>
      </c>
      <c r="H104" s="204" t="s">
        <v>77</v>
      </c>
      <c r="I104" s="204" t="s">
        <v>7193</v>
      </c>
    </row>
    <row r="105" spans="1:9" x14ac:dyDescent="0.25">
      <c r="A105" s="204" t="s">
        <v>172</v>
      </c>
      <c r="B105" s="9" t="str">
        <f t="shared" si="2"/>
        <v>10230350</v>
      </c>
      <c r="C105" s="9" t="str">
        <f>VLOOKUP(B105,COA!A:B,2,FALSE)</f>
        <v>Leased - Land &amp; Land Rights - Transmission &amp; Distr</v>
      </c>
      <c r="D105" s="338" t="str">
        <f t="shared" si="3"/>
        <v>C3034</v>
      </c>
      <c r="E105" s="338" t="s">
        <v>6933</v>
      </c>
      <c r="F105" s="338" t="s">
        <v>6872</v>
      </c>
      <c r="G105" s="338">
        <v>0</v>
      </c>
      <c r="H105" s="204" t="s">
        <v>77</v>
      </c>
      <c r="I105" s="204" t="s">
        <v>7195</v>
      </c>
    </row>
    <row r="106" spans="1:9" x14ac:dyDescent="0.25">
      <c r="A106" s="204" t="s">
        <v>173</v>
      </c>
      <c r="B106" s="9" t="str">
        <f t="shared" si="2"/>
        <v>10230360</v>
      </c>
      <c r="C106" s="9" t="str">
        <f>VLOOKUP(B106,COA!A:B,2,FALSE)</f>
        <v>Leased - Land &amp; Land Rights - Admin &amp; General</v>
      </c>
      <c r="D106" s="338" t="str">
        <f t="shared" si="3"/>
        <v>C3035</v>
      </c>
      <c r="E106" s="338" t="s">
        <v>6933</v>
      </c>
      <c r="F106" s="338" t="s">
        <v>6872</v>
      </c>
      <c r="G106" s="338">
        <v>0</v>
      </c>
      <c r="H106" s="204" t="s">
        <v>77</v>
      </c>
      <c r="I106" s="204" t="s">
        <v>7197</v>
      </c>
    </row>
    <row r="107" spans="1:9" x14ac:dyDescent="0.25">
      <c r="A107" s="204" t="s">
        <v>174</v>
      </c>
      <c r="B107" s="9" t="str">
        <f t="shared" si="2"/>
        <v>10230410</v>
      </c>
      <c r="C107" s="9" t="str">
        <f>VLOOKUP(B107,COA!A:B,2,FALSE)</f>
        <v>Leased - Struct &amp; Imp - Source of Supply</v>
      </c>
      <c r="D107" s="338" t="str">
        <f t="shared" si="3"/>
        <v>C3042</v>
      </c>
      <c r="E107" s="338" t="s">
        <v>6933</v>
      </c>
      <c r="F107" s="338" t="s">
        <v>6872</v>
      </c>
      <c r="G107" s="338">
        <v>0</v>
      </c>
      <c r="H107" s="204" t="s">
        <v>77</v>
      </c>
      <c r="I107" s="204" t="s">
        <v>7199</v>
      </c>
    </row>
    <row r="108" spans="1:9" x14ac:dyDescent="0.25">
      <c r="A108" s="204" t="s">
        <v>175</v>
      </c>
      <c r="B108" s="9" t="str">
        <f t="shared" si="2"/>
        <v>10230420</v>
      </c>
      <c r="C108" s="9" t="str">
        <f>VLOOKUP(B108,COA!A:B,2,FALSE)</f>
        <v>Leased - Struct &amp; Imp - Pumping</v>
      </c>
      <c r="D108" s="338" t="str">
        <f t="shared" si="3"/>
        <v>C3042</v>
      </c>
      <c r="E108" s="338" t="s">
        <v>6933</v>
      </c>
      <c r="F108" s="338" t="s">
        <v>6872</v>
      </c>
      <c r="G108" s="338">
        <v>0</v>
      </c>
      <c r="H108" s="204" t="s">
        <v>77</v>
      </c>
      <c r="I108" s="204" t="s">
        <v>7199</v>
      </c>
    </row>
    <row r="109" spans="1:9" x14ac:dyDescent="0.25">
      <c r="A109" s="204" t="s">
        <v>176</v>
      </c>
      <c r="B109" s="9" t="str">
        <f t="shared" si="2"/>
        <v>10230430</v>
      </c>
      <c r="C109" s="9" t="str">
        <f>VLOOKUP(B109,COA!A:B,2,FALSE)</f>
        <v>Leased - Struct &amp; Imp - Water Treatment</v>
      </c>
      <c r="D109" s="338" t="str">
        <f t="shared" si="3"/>
        <v>C3043</v>
      </c>
      <c r="E109" s="338" t="s">
        <v>6933</v>
      </c>
      <c r="F109" s="338" t="s">
        <v>6872</v>
      </c>
      <c r="G109" s="338">
        <v>0</v>
      </c>
      <c r="H109" s="204" t="s">
        <v>77</v>
      </c>
      <c r="I109" s="204" t="s">
        <v>7202</v>
      </c>
    </row>
    <row r="110" spans="1:9" x14ac:dyDescent="0.25">
      <c r="A110" s="204" t="s">
        <v>177</v>
      </c>
      <c r="B110" s="9" t="str">
        <f t="shared" si="2"/>
        <v>10230440</v>
      </c>
      <c r="C110" s="9" t="str">
        <f>VLOOKUP(B110,COA!A:B,2,FALSE)</f>
        <v>Leased - Struct &amp; Imp - Transmission &amp; Distrib</v>
      </c>
      <c r="D110" s="338" t="str">
        <f t="shared" si="3"/>
        <v>C3044</v>
      </c>
      <c r="E110" s="338" t="s">
        <v>6933</v>
      </c>
      <c r="F110" s="338" t="s">
        <v>6872</v>
      </c>
      <c r="G110" s="338">
        <v>0</v>
      </c>
      <c r="H110" s="204" t="s">
        <v>77</v>
      </c>
      <c r="I110" s="204" t="s">
        <v>7204</v>
      </c>
    </row>
    <row r="111" spans="1:9" x14ac:dyDescent="0.25">
      <c r="A111" s="204" t="s">
        <v>178</v>
      </c>
      <c r="B111" s="9" t="str">
        <f t="shared" si="2"/>
        <v>10230450</v>
      </c>
      <c r="C111" s="9" t="str">
        <f>VLOOKUP(B111,COA!A:B,2,FALSE)</f>
        <v>Leased - Struct &amp; Imp - Admin &amp; General</v>
      </c>
      <c r="D111" s="338" t="str">
        <f t="shared" si="3"/>
        <v>C3045</v>
      </c>
      <c r="E111" s="338" t="s">
        <v>6933</v>
      </c>
      <c r="F111" s="338" t="s">
        <v>6872</v>
      </c>
      <c r="G111" s="338">
        <v>0</v>
      </c>
      <c r="H111" s="204" t="s">
        <v>77</v>
      </c>
      <c r="I111" s="204" t="s">
        <v>7206</v>
      </c>
    </row>
    <row r="112" spans="1:9" x14ac:dyDescent="0.25">
      <c r="A112" s="204" t="s">
        <v>179</v>
      </c>
      <c r="B112" s="9" t="str">
        <f t="shared" si="2"/>
        <v>10230500</v>
      </c>
      <c r="C112" s="9" t="str">
        <f>VLOOKUP(B112,COA!A:B,2,FALSE)</f>
        <v>Leased - Collect &amp; Impounding</v>
      </c>
      <c r="D112" s="338" t="str">
        <f t="shared" si="3"/>
        <v>C3052</v>
      </c>
      <c r="E112" s="338" t="s">
        <v>6933</v>
      </c>
      <c r="F112" s="338" t="s">
        <v>6872</v>
      </c>
      <c r="G112" s="338">
        <v>0</v>
      </c>
      <c r="H112" s="204" t="s">
        <v>77</v>
      </c>
      <c r="I112" s="204" t="s">
        <v>7208</v>
      </c>
    </row>
    <row r="113" spans="1:9" x14ac:dyDescent="0.25">
      <c r="A113" s="204" t="s">
        <v>180</v>
      </c>
      <c r="B113" s="9" t="str">
        <f t="shared" si="2"/>
        <v>10230600</v>
      </c>
      <c r="C113" s="9" t="str">
        <f>VLOOKUP(B113,COA!A:B,2,FALSE)</f>
        <v>Leased - Lake - River &amp; Other</v>
      </c>
      <c r="D113" s="338" t="str">
        <f t="shared" si="3"/>
        <v>C3062</v>
      </c>
      <c r="E113" s="338" t="s">
        <v>6933</v>
      </c>
      <c r="F113" s="338" t="s">
        <v>6872</v>
      </c>
      <c r="G113" s="338">
        <v>0</v>
      </c>
      <c r="H113" s="204" t="s">
        <v>77</v>
      </c>
      <c r="I113" s="204" t="s">
        <v>7210</v>
      </c>
    </row>
    <row r="114" spans="1:9" x14ac:dyDescent="0.25">
      <c r="A114" s="204" t="s">
        <v>181</v>
      </c>
      <c r="B114" s="9" t="str">
        <f t="shared" si="2"/>
        <v>10230900</v>
      </c>
      <c r="C114" s="9" t="str">
        <f>VLOOKUP(B114,COA!A:B,2,FALSE)</f>
        <v>Leased - Supply Mains</v>
      </c>
      <c r="D114" s="338" t="str">
        <f t="shared" si="3"/>
        <v>C3092</v>
      </c>
      <c r="E114" s="338" t="s">
        <v>6933</v>
      </c>
      <c r="F114" s="338" t="s">
        <v>6872</v>
      </c>
      <c r="G114" s="338">
        <v>0</v>
      </c>
      <c r="H114" s="204" t="s">
        <v>77</v>
      </c>
      <c r="I114" s="204" t="s">
        <v>7214</v>
      </c>
    </row>
    <row r="115" spans="1:9" x14ac:dyDescent="0.25">
      <c r="A115" s="204" t="s">
        <v>182</v>
      </c>
      <c r="B115" s="9" t="str">
        <f t="shared" si="2"/>
        <v>10231000</v>
      </c>
      <c r="C115" s="9" t="str">
        <f>VLOOKUP(B115,COA!A:B,2,FALSE)</f>
        <v>Leased - Power Generation Equipment</v>
      </c>
      <c r="D115" s="338" t="str">
        <f t="shared" si="3"/>
        <v>C3102</v>
      </c>
      <c r="E115" s="338" t="s">
        <v>6933</v>
      </c>
      <c r="F115" s="338" t="s">
        <v>6872</v>
      </c>
      <c r="G115" s="338">
        <v>0</v>
      </c>
      <c r="H115" s="204" t="s">
        <v>77</v>
      </c>
      <c r="I115" s="204" t="s">
        <v>7216</v>
      </c>
    </row>
    <row r="116" spans="1:9" x14ac:dyDescent="0.25">
      <c r="A116" s="204" t="s">
        <v>183</v>
      </c>
      <c r="B116" s="9" t="str">
        <f t="shared" si="2"/>
        <v>10231120</v>
      </c>
      <c r="C116" s="9" t="str">
        <f>VLOOKUP(B116,COA!A:B,2,FALSE)</f>
        <v>Leased - Pump Equipment Electric</v>
      </c>
      <c r="D116" s="338" t="str">
        <f t="shared" si="3"/>
        <v>C3112</v>
      </c>
      <c r="E116" s="338" t="s">
        <v>6933</v>
      </c>
      <c r="F116" s="338" t="s">
        <v>6872</v>
      </c>
      <c r="G116" s="338">
        <v>0</v>
      </c>
      <c r="H116" s="204" t="s">
        <v>77</v>
      </c>
      <c r="I116" s="204" t="s">
        <v>7218</v>
      </c>
    </row>
    <row r="117" spans="1:9" x14ac:dyDescent="0.25">
      <c r="A117" s="204" t="s">
        <v>184</v>
      </c>
      <c r="B117" s="9" t="str">
        <f t="shared" si="2"/>
        <v>10232010</v>
      </c>
      <c r="C117" s="9" t="str">
        <f>VLOOKUP(B117,COA!A:B,2,FALSE)</f>
        <v>Leased - WT Equipment</v>
      </c>
      <c r="D117" s="338" t="str">
        <f t="shared" si="3"/>
        <v>C3203</v>
      </c>
      <c r="E117" s="338" t="s">
        <v>6933</v>
      </c>
      <c r="F117" s="338" t="s">
        <v>6872</v>
      </c>
      <c r="G117" s="338">
        <v>0</v>
      </c>
      <c r="H117" s="204" t="s">
        <v>77</v>
      </c>
      <c r="I117" s="204" t="s">
        <v>7230</v>
      </c>
    </row>
    <row r="118" spans="1:9" x14ac:dyDescent="0.25">
      <c r="A118" s="204" t="s">
        <v>185</v>
      </c>
      <c r="B118" s="9" t="str">
        <f t="shared" si="2"/>
        <v>10233000</v>
      </c>
      <c r="C118" s="9" t="str">
        <f>VLOOKUP(B118,COA!A:B,2,FALSE)</f>
        <v>Leased - Distribution Reservoirs &amp; Standpipes</v>
      </c>
      <c r="D118" s="338" t="str">
        <f t="shared" si="3"/>
        <v>C3304</v>
      </c>
      <c r="E118" s="338" t="s">
        <v>6933</v>
      </c>
      <c r="F118" s="338" t="s">
        <v>6872</v>
      </c>
      <c r="G118" s="338">
        <v>0</v>
      </c>
      <c r="H118" s="204" t="s">
        <v>77</v>
      </c>
      <c r="I118" s="204" t="s">
        <v>7232</v>
      </c>
    </row>
    <row r="119" spans="1:9" x14ac:dyDescent="0.25">
      <c r="A119" s="204" t="s">
        <v>186</v>
      </c>
      <c r="B119" s="9" t="str">
        <f t="shared" si="2"/>
        <v>10233100</v>
      </c>
      <c r="C119" s="9" t="str">
        <f>VLOOKUP(B119,COA!A:B,2,FALSE)</f>
        <v>Leased - TD Mains</v>
      </c>
      <c r="D119" s="338" t="str">
        <f t="shared" si="3"/>
        <v>C3314</v>
      </c>
      <c r="E119" s="338" t="s">
        <v>6933</v>
      </c>
      <c r="F119" s="338" t="s">
        <v>6872</v>
      </c>
      <c r="G119" s="338">
        <v>0</v>
      </c>
      <c r="H119" s="204" t="s">
        <v>77</v>
      </c>
      <c r="I119" s="204" t="s">
        <v>7234</v>
      </c>
    </row>
    <row r="120" spans="1:9" x14ac:dyDescent="0.25">
      <c r="A120" s="204" t="s">
        <v>187</v>
      </c>
      <c r="B120" s="9" t="str">
        <f t="shared" si="2"/>
        <v>10233300</v>
      </c>
      <c r="C120" s="9" t="str">
        <f>VLOOKUP(B120,COA!A:B,2,FALSE)</f>
        <v>Leased - Services</v>
      </c>
      <c r="D120" s="338" t="str">
        <f t="shared" si="3"/>
        <v>C3334</v>
      </c>
      <c r="E120" s="338" t="s">
        <v>6933</v>
      </c>
      <c r="F120" s="338" t="s">
        <v>6872</v>
      </c>
      <c r="G120" s="338">
        <v>0</v>
      </c>
      <c r="H120" s="204" t="s">
        <v>77</v>
      </c>
      <c r="I120" s="204" t="s">
        <v>7235</v>
      </c>
    </row>
    <row r="121" spans="1:9" x14ac:dyDescent="0.25">
      <c r="A121" s="204" t="s">
        <v>188</v>
      </c>
      <c r="B121" s="9" t="str">
        <f t="shared" si="2"/>
        <v>10233410</v>
      </c>
      <c r="C121" s="9" t="str">
        <f>VLOOKUP(B121,COA!A:B,2,FALSE)</f>
        <v>Leased - Meters</v>
      </c>
      <c r="D121" s="338" t="str">
        <f t="shared" si="3"/>
        <v>C3344</v>
      </c>
      <c r="E121" s="338" t="s">
        <v>6933</v>
      </c>
      <c r="F121" s="338" t="s">
        <v>6872</v>
      </c>
      <c r="G121" s="338">
        <v>0</v>
      </c>
      <c r="H121" s="204" t="s">
        <v>77</v>
      </c>
      <c r="I121" s="204" t="s">
        <v>7236</v>
      </c>
    </row>
    <row r="122" spans="1:9" x14ac:dyDescent="0.25">
      <c r="A122" s="204" t="s">
        <v>189</v>
      </c>
      <c r="B122" s="9" t="str">
        <f t="shared" si="2"/>
        <v>10233420</v>
      </c>
      <c r="C122" s="9" t="str">
        <f>VLOOKUP(B122,COA!A:B,2,FALSE)</f>
        <v>Leased - Meter Installations</v>
      </c>
      <c r="D122" s="338" t="str">
        <f t="shared" si="3"/>
        <v>C3344</v>
      </c>
      <c r="E122" s="338" t="s">
        <v>6933</v>
      </c>
      <c r="F122" s="338" t="s">
        <v>6872</v>
      </c>
      <c r="G122" s="338">
        <v>0</v>
      </c>
      <c r="H122" s="204" t="s">
        <v>77</v>
      </c>
      <c r="I122" s="204" t="s">
        <v>7236</v>
      </c>
    </row>
    <row r="123" spans="1:9" x14ac:dyDescent="0.25">
      <c r="A123" s="204" t="s">
        <v>190</v>
      </c>
      <c r="B123" s="9" t="str">
        <f t="shared" si="2"/>
        <v>10233500</v>
      </c>
      <c r="C123" s="9" t="str">
        <f>VLOOKUP(B123,COA!A:B,2,FALSE)</f>
        <v>Leased - Hydrants</v>
      </c>
      <c r="D123" s="338" t="str">
        <f t="shared" si="3"/>
        <v>C3354</v>
      </c>
      <c r="E123" s="338" t="s">
        <v>6933</v>
      </c>
      <c r="F123" s="338" t="s">
        <v>6872</v>
      </c>
      <c r="G123" s="338">
        <v>0</v>
      </c>
      <c r="H123" s="204" t="s">
        <v>77</v>
      </c>
      <c r="I123" s="204" t="s">
        <v>7237</v>
      </c>
    </row>
    <row r="124" spans="1:9" x14ac:dyDescent="0.25">
      <c r="A124" s="204" t="s">
        <v>191</v>
      </c>
      <c r="B124" s="9" t="str">
        <f t="shared" si="2"/>
        <v>10233950</v>
      </c>
      <c r="C124" s="9" t="str">
        <f>VLOOKUP(B124,COA!A:B,2,FALSE)</f>
        <v>Leased - Other P/E - Transmission &amp; Distribution</v>
      </c>
      <c r="D124" s="338" t="str">
        <f t="shared" si="3"/>
        <v>C3394</v>
      </c>
      <c r="E124" s="338" t="s">
        <v>6933</v>
      </c>
      <c r="F124" s="338" t="s">
        <v>6872</v>
      </c>
      <c r="G124" s="338">
        <v>0</v>
      </c>
      <c r="H124" s="204" t="s">
        <v>77</v>
      </c>
      <c r="I124" s="204" t="s">
        <v>7246</v>
      </c>
    </row>
    <row r="125" spans="1:9" x14ac:dyDescent="0.25">
      <c r="A125" s="204" t="s">
        <v>192</v>
      </c>
      <c r="B125" s="9" t="str">
        <f t="shared" si="2"/>
        <v>10234010</v>
      </c>
      <c r="C125" s="9" t="str">
        <f>VLOOKUP(B125,COA!A:B,2,FALSE)</f>
        <v>Leased - Office Furniture &amp; Equipment</v>
      </c>
      <c r="D125" s="338" t="str">
        <f t="shared" si="3"/>
        <v>C3405</v>
      </c>
      <c r="E125" s="338" t="s">
        <v>6933</v>
      </c>
      <c r="F125" s="338" t="s">
        <v>6872</v>
      </c>
      <c r="G125" s="338">
        <v>0</v>
      </c>
      <c r="H125" s="204" t="s">
        <v>77</v>
      </c>
      <c r="I125" s="204" t="s">
        <v>7248</v>
      </c>
    </row>
    <row r="126" spans="1:9" x14ac:dyDescent="0.25">
      <c r="A126" s="204" t="s">
        <v>193</v>
      </c>
      <c r="B126" s="9" t="str">
        <f t="shared" si="2"/>
        <v>10234100</v>
      </c>
      <c r="C126" s="9" t="str">
        <f>VLOOKUP(B126,COA!A:B,2,FALSE)</f>
        <v>Leased - Transportation Equipment</v>
      </c>
      <c r="D126" s="338" t="str">
        <f t="shared" si="3"/>
        <v>C3415</v>
      </c>
      <c r="E126" s="338" t="s">
        <v>6933</v>
      </c>
      <c r="F126" s="338" t="s">
        <v>6872</v>
      </c>
      <c r="G126" s="338">
        <v>0</v>
      </c>
      <c r="H126" s="204" t="s">
        <v>77</v>
      </c>
      <c r="I126" s="204" t="s">
        <v>7250</v>
      </c>
    </row>
    <row r="127" spans="1:9" x14ac:dyDescent="0.25">
      <c r="A127" s="204" t="s">
        <v>194</v>
      </c>
      <c r="B127" s="9" t="str">
        <f t="shared" si="2"/>
        <v>10234200</v>
      </c>
      <c r="C127" s="9" t="str">
        <f>VLOOKUP(B127,COA!A:B,2,FALSE)</f>
        <v>Leased - Stores Equipment</v>
      </c>
      <c r="D127" s="338" t="str">
        <f t="shared" si="3"/>
        <v>C3425</v>
      </c>
      <c r="E127" s="338" t="s">
        <v>6933</v>
      </c>
      <c r="F127" s="338" t="s">
        <v>6872</v>
      </c>
      <c r="G127" s="338">
        <v>0</v>
      </c>
      <c r="H127" s="204" t="s">
        <v>77</v>
      </c>
      <c r="I127" s="204" t="s">
        <v>7251</v>
      </c>
    </row>
    <row r="128" spans="1:9" x14ac:dyDescent="0.25">
      <c r="A128" s="204" t="s">
        <v>195</v>
      </c>
      <c r="B128" s="9" t="str">
        <f t="shared" si="2"/>
        <v>10234300</v>
      </c>
      <c r="C128" s="9" t="str">
        <f>VLOOKUP(B128,COA!A:B,2,FALSE)</f>
        <v>Leased - Tools-Shop-Garage Equipment</v>
      </c>
      <c r="D128" s="338" t="str">
        <f t="shared" si="3"/>
        <v>C3435</v>
      </c>
      <c r="E128" s="338" t="s">
        <v>6933</v>
      </c>
      <c r="F128" s="338" t="s">
        <v>6872</v>
      </c>
      <c r="G128" s="338">
        <v>0</v>
      </c>
      <c r="H128" s="204" t="s">
        <v>77</v>
      </c>
      <c r="I128" s="204" t="s">
        <v>7253</v>
      </c>
    </row>
    <row r="129" spans="1:9" x14ac:dyDescent="0.25">
      <c r="A129" s="204" t="s">
        <v>196</v>
      </c>
      <c r="B129" s="9" t="str">
        <f t="shared" si="2"/>
        <v>10234400</v>
      </c>
      <c r="C129" s="9" t="str">
        <f>VLOOKUP(B129,COA!A:B,2,FALSE)</f>
        <v>Leased - Laboratory Equipment</v>
      </c>
      <c r="D129" s="338" t="str">
        <f t="shared" si="3"/>
        <v>C3445</v>
      </c>
      <c r="E129" s="338" t="s">
        <v>6933</v>
      </c>
      <c r="F129" s="338" t="s">
        <v>6872</v>
      </c>
      <c r="G129" s="338">
        <v>0</v>
      </c>
      <c r="H129" s="204" t="s">
        <v>77</v>
      </c>
      <c r="I129" s="204" t="s">
        <v>7254</v>
      </c>
    </row>
    <row r="130" spans="1:9" x14ac:dyDescent="0.25">
      <c r="A130" s="204" t="s">
        <v>197</v>
      </c>
      <c r="B130" s="9" t="str">
        <f t="shared" si="2"/>
        <v>10234500</v>
      </c>
      <c r="C130" s="9" t="str">
        <f>VLOOKUP(B130,COA!A:B,2,FALSE)</f>
        <v>Leased - Power Operated Equipment</v>
      </c>
      <c r="D130" s="338" t="str">
        <f t="shared" si="3"/>
        <v>C3455</v>
      </c>
      <c r="E130" s="338" t="s">
        <v>6933</v>
      </c>
      <c r="F130" s="338" t="s">
        <v>6872</v>
      </c>
      <c r="G130" s="338">
        <v>0</v>
      </c>
      <c r="H130" s="204" t="s">
        <v>77</v>
      </c>
      <c r="I130" s="204" t="s">
        <v>7255</v>
      </c>
    </row>
    <row r="131" spans="1:9" x14ac:dyDescent="0.25">
      <c r="A131" s="204" t="s">
        <v>198</v>
      </c>
      <c r="B131" s="9" t="str">
        <f t="shared" si="2"/>
        <v>10234600</v>
      </c>
      <c r="C131" s="9" t="str">
        <f>VLOOKUP(B131,COA!A:B,2,FALSE)</f>
        <v>Leased - Comm Equipment Not Class</v>
      </c>
      <c r="D131" s="338" t="str">
        <f t="shared" si="3"/>
        <v>C3465</v>
      </c>
      <c r="E131" s="338" t="s">
        <v>6933</v>
      </c>
      <c r="F131" s="338" t="s">
        <v>6872</v>
      </c>
      <c r="G131" s="338">
        <v>0</v>
      </c>
      <c r="H131" s="204" t="s">
        <v>77</v>
      </c>
      <c r="I131" s="204" t="s">
        <v>7257</v>
      </c>
    </row>
    <row r="132" spans="1:9" x14ac:dyDescent="0.25">
      <c r="A132" s="204" t="s">
        <v>199</v>
      </c>
      <c r="B132" s="9" t="str">
        <f t="shared" si="2"/>
        <v>10234700</v>
      </c>
      <c r="C132" s="9" t="str">
        <f>VLOOKUP(B132,COA!A:B,2,FALSE)</f>
        <v>Leased - Misc Equipment</v>
      </c>
      <c r="D132" s="338" t="str">
        <f t="shared" si="3"/>
        <v>C3475</v>
      </c>
      <c r="E132" s="338" t="s">
        <v>6933</v>
      </c>
      <c r="F132" s="338" t="s">
        <v>6872</v>
      </c>
      <c r="G132" s="338">
        <v>0</v>
      </c>
      <c r="H132" s="204" t="s">
        <v>77</v>
      </c>
      <c r="I132" s="204" t="s">
        <v>7258</v>
      </c>
    </row>
    <row r="133" spans="1:9" x14ac:dyDescent="0.25">
      <c r="A133" s="204" t="s">
        <v>200</v>
      </c>
      <c r="B133" s="9" t="str">
        <f t="shared" si="2"/>
        <v>10300000</v>
      </c>
      <c r="C133" s="9" t="str">
        <f>VLOOKUP(B133,COA!A:B,2,FALSE)</f>
        <v>Property Held Future</v>
      </c>
      <c r="D133" s="338" t="str">
        <f t="shared" si="3"/>
        <v>C103</v>
      </c>
      <c r="E133" s="338" t="s">
        <v>6873</v>
      </c>
      <c r="F133" s="338" t="s">
        <v>6873</v>
      </c>
      <c r="G133" s="338">
        <v>0</v>
      </c>
      <c r="H133" s="204" t="s">
        <v>77</v>
      </c>
      <c r="I133" s="204" t="s">
        <v>7331</v>
      </c>
    </row>
    <row r="134" spans="1:9" x14ac:dyDescent="0.25">
      <c r="A134" s="204" t="s">
        <v>201</v>
      </c>
      <c r="B134" s="9" t="str">
        <f t="shared" si="2"/>
        <v>10400000</v>
      </c>
      <c r="C134" s="9" t="str">
        <f>VLOOKUP(B134,COA!A:B,2,FALSE)</f>
        <v>Utility Plant Purchased or Sold</v>
      </c>
      <c r="D134" s="338" t="str">
        <f t="shared" si="3"/>
        <v>C104</v>
      </c>
      <c r="E134" s="338" t="s">
        <v>6877</v>
      </c>
      <c r="F134" s="338" t="s">
        <v>6877</v>
      </c>
      <c r="G134" s="338">
        <v>0</v>
      </c>
      <c r="H134" s="204" t="s">
        <v>77</v>
      </c>
      <c r="I134" s="204" t="s">
        <v>7332</v>
      </c>
    </row>
    <row r="135" spans="1:9" x14ac:dyDescent="0.25">
      <c r="A135" s="204" t="s">
        <v>202</v>
      </c>
      <c r="B135" s="9" t="str">
        <f t="shared" si="2"/>
        <v>10630100</v>
      </c>
      <c r="C135" s="9" t="str">
        <f>VLOOKUP(B135,COA!A:B,2,FALSE)</f>
        <v>CCNC Organization</v>
      </c>
      <c r="D135" s="338" t="str">
        <f t="shared" si="3"/>
        <v>C3011</v>
      </c>
      <c r="E135" s="338" t="s">
        <v>6870</v>
      </c>
      <c r="F135" s="338" t="s">
        <v>20</v>
      </c>
      <c r="G135" s="338" t="s">
        <v>21</v>
      </c>
      <c r="H135" s="204" t="s">
        <v>77</v>
      </c>
      <c r="I135" s="204" t="s">
        <v>7187</v>
      </c>
    </row>
    <row r="136" spans="1:9" x14ac:dyDescent="0.25">
      <c r="A136" s="204" t="s">
        <v>203</v>
      </c>
      <c r="B136" s="9" t="str">
        <f t="shared" si="2"/>
        <v>10630200</v>
      </c>
      <c r="C136" s="9" t="str">
        <f>VLOOKUP(B136,COA!A:B,2,FALSE)</f>
        <v>CCNC Franchises</v>
      </c>
      <c r="D136" s="338" t="str">
        <f t="shared" si="3"/>
        <v>C3021</v>
      </c>
      <c r="E136" s="338" t="s">
        <v>6870</v>
      </c>
      <c r="F136" s="338" t="s">
        <v>20</v>
      </c>
      <c r="G136" s="338" t="s">
        <v>22</v>
      </c>
      <c r="H136" s="204" t="s">
        <v>77</v>
      </c>
      <c r="I136" s="204" t="s">
        <v>7188</v>
      </c>
    </row>
    <row r="137" spans="1:9" x14ac:dyDescent="0.25">
      <c r="A137" s="204" t="s">
        <v>204</v>
      </c>
      <c r="B137" s="9" t="str">
        <f t="shared" si="2"/>
        <v>10630320</v>
      </c>
      <c r="C137" s="9" t="str">
        <f>VLOOKUP(B137,COA!A:B,2,FALSE)</f>
        <v>CCNC Land &amp; Land Rights - Source of Supply</v>
      </c>
      <c r="D137" s="338" t="str">
        <f t="shared" si="3"/>
        <v>C3032</v>
      </c>
      <c r="E137" s="338" t="s">
        <v>6870</v>
      </c>
      <c r="F137" s="338" t="s">
        <v>23</v>
      </c>
      <c r="G137" s="338" t="s">
        <v>7189</v>
      </c>
      <c r="H137" s="204" t="s">
        <v>77</v>
      </c>
      <c r="I137" s="204" t="s">
        <v>7190</v>
      </c>
    </row>
    <row r="138" spans="1:9" x14ac:dyDescent="0.25">
      <c r="A138" s="204" t="s">
        <v>205</v>
      </c>
      <c r="B138" s="9" t="str">
        <f t="shared" ref="B138:B201" si="4">RIGHT(A138,8)</f>
        <v>10630330</v>
      </c>
      <c r="C138" s="9" t="str">
        <f>VLOOKUP(B138,COA!A:B,2,FALSE)</f>
        <v>CCNC Land &amp; Land Rights - Pumping</v>
      </c>
      <c r="D138" s="338" t="str">
        <f t="shared" si="3"/>
        <v>C3032</v>
      </c>
      <c r="E138" s="338" t="s">
        <v>6870</v>
      </c>
      <c r="F138" s="338" t="s">
        <v>6865</v>
      </c>
      <c r="G138" s="338" t="s">
        <v>7191</v>
      </c>
      <c r="H138" s="204" t="s">
        <v>77</v>
      </c>
      <c r="I138" s="204" t="s">
        <v>7190</v>
      </c>
    </row>
    <row r="139" spans="1:9" x14ac:dyDescent="0.25">
      <c r="A139" s="204" t="s">
        <v>206</v>
      </c>
      <c r="B139" s="9" t="str">
        <f t="shared" si="4"/>
        <v>10630340</v>
      </c>
      <c r="C139" s="9" t="str">
        <f>VLOOKUP(B139,COA!A:B,2,FALSE)</f>
        <v>CCNC Land &amp; Land Rights - Water Treatment</v>
      </c>
      <c r="D139" s="338" t="str">
        <f t="shared" ref="D139:D202" si="5">+I139</f>
        <v>C3033</v>
      </c>
      <c r="E139" s="338" t="s">
        <v>6870</v>
      </c>
      <c r="F139" s="338" t="s">
        <v>9</v>
      </c>
      <c r="G139" s="338" t="s">
        <v>7192</v>
      </c>
      <c r="H139" s="204" t="s">
        <v>77</v>
      </c>
      <c r="I139" s="204" t="s">
        <v>7193</v>
      </c>
    </row>
    <row r="140" spans="1:9" x14ac:dyDescent="0.25">
      <c r="A140" s="204" t="s">
        <v>207</v>
      </c>
      <c r="B140" s="9" t="str">
        <f t="shared" si="4"/>
        <v>10630350</v>
      </c>
      <c r="C140" s="9" t="str">
        <f>VLOOKUP(B140,COA!A:B,2,FALSE)</f>
        <v>CCNC Land &amp; Land Rights - Transmssn &amp; Distr</v>
      </c>
      <c r="D140" s="338" t="str">
        <f t="shared" si="5"/>
        <v>C3034</v>
      </c>
      <c r="E140" s="338" t="s">
        <v>6870</v>
      </c>
      <c r="F140" s="338" t="s">
        <v>6982</v>
      </c>
      <c r="G140" s="338" t="s">
        <v>7333</v>
      </c>
      <c r="H140" s="204" t="s">
        <v>77</v>
      </c>
      <c r="I140" s="204" t="s">
        <v>7195</v>
      </c>
    </row>
    <row r="141" spans="1:9" x14ac:dyDescent="0.25">
      <c r="A141" s="204" t="s">
        <v>208</v>
      </c>
      <c r="B141" s="9" t="str">
        <f t="shared" si="4"/>
        <v>10630360</v>
      </c>
      <c r="C141" s="9" t="str">
        <f>VLOOKUP(B141,COA!A:B,2,FALSE)</f>
        <v>CCNC Land &amp; Land Rights - Admin &amp; General</v>
      </c>
      <c r="D141" s="338" t="str">
        <f t="shared" si="5"/>
        <v>C3035</v>
      </c>
      <c r="E141" s="338" t="s">
        <v>6870</v>
      </c>
      <c r="F141" s="338" t="s">
        <v>31</v>
      </c>
      <c r="G141" s="338" t="s">
        <v>7196</v>
      </c>
      <c r="H141" s="204" t="s">
        <v>77</v>
      </c>
      <c r="I141" s="204" t="s">
        <v>7197</v>
      </c>
    </row>
    <row r="142" spans="1:9" x14ac:dyDescent="0.25">
      <c r="A142" s="204" t="s">
        <v>209</v>
      </c>
      <c r="B142" s="9" t="str">
        <f t="shared" si="4"/>
        <v>10630410</v>
      </c>
      <c r="C142" s="9" t="str">
        <f>VLOOKUP(B142,COA!A:B,2,FALSE)</f>
        <v>CCNC Struct &amp; Imp - Source of Supply</v>
      </c>
      <c r="D142" s="338" t="str">
        <f t="shared" si="5"/>
        <v>C3042</v>
      </c>
      <c r="E142" s="338" t="s">
        <v>6870</v>
      </c>
      <c r="F142" s="338" t="s">
        <v>23</v>
      </c>
      <c r="G142" s="338" t="s">
        <v>7198</v>
      </c>
      <c r="H142" s="204" t="s">
        <v>77</v>
      </c>
      <c r="I142" s="204" t="s">
        <v>7199</v>
      </c>
    </row>
    <row r="143" spans="1:9" x14ac:dyDescent="0.25">
      <c r="A143" s="204" t="s">
        <v>210</v>
      </c>
      <c r="B143" s="9" t="str">
        <f t="shared" si="4"/>
        <v>10630420</v>
      </c>
      <c r="C143" s="9" t="str">
        <f>VLOOKUP(B143,COA!A:B,2,FALSE)</f>
        <v>CCNC Struct &amp; Imp - Pumping</v>
      </c>
      <c r="D143" s="338" t="str">
        <f t="shared" si="5"/>
        <v>C3042</v>
      </c>
      <c r="E143" s="338" t="s">
        <v>6870</v>
      </c>
      <c r="F143" s="338" t="s">
        <v>6865</v>
      </c>
      <c r="G143" s="338" t="s">
        <v>7200</v>
      </c>
      <c r="H143" s="204" t="s">
        <v>77</v>
      </c>
      <c r="I143" s="204" t="s">
        <v>7199</v>
      </c>
    </row>
    <row r="144" spans="1:9" x14ac:dyDescent="0.25">
      <c r="A144" s="204" t="s">
        <v>211</v>
      </c>
      <c r="B144" s="9" t="str">
        <f t="shared" si="4"/>
        <v>10630430</v>
      </c>
      <c r="C144" s="9" t="str">
        <f>VLOOKUP(B144,COA!A:B,2,FALSE)</f>
        <v>CCNC Struct &amp; Imp - Water Treatment</v>
      </c>
      <c r="D144" s="338" t="str">
        <f t="shared" si="5"/>
        <v>C3043</v>
      </c>
      <c r="E144" s="338" t="s">
        <v>6870</v>
      </c>
      <c r="F144" s="338" t="s">
        <v>9</v>
      </c>
      <c r="G144" s="338" t="s">
        <v>7201</v>
      </c>
      <c r="H144" s="204" t="s">
        <v>77</v>
      </c>
      <c r="I144" s="204" t="s">
        <v>7202</v>
      </c>
    </row>
    <row r="145" spans="1:9" x14ac:dyDescent="0.25">
      <c r="A145" s="204" t="s">
        <v>212</v>
      </c>
      <c r="B145" s="9" t="str">
        <f t="shared" si="4"/>
        <v>10630440</v>
      </c>
      <c r="C145" s="9" t="str">
        <f>VLOOKUP(B145,COA!A:B,2,FALSE)</f>
        <v>CCNC Struct &amp; Imp - Transmission &amp; Distribution</v>
      </c>
      <c r="D145" s="338" t="str">
        <f t="shared" si="5"/>
        <v>C3044</v>
      </c>
      <c r="E145" s="338" t="s">
        <v>6870</v>
      </c>
      <c r="F145" s="338" t="s">
        <v>6982</v>
      </c>
      <c r="G145" s="338" t="s">
        <v>7203</v>
      </c>
      <c r="H145" s="204" t="s">
        <v>77</v>
      </c>
      <c r="I145" s="204" t="s">
        <v>7204</v>
      </c>
    </row>
    <row r="146" spans="1:9" x14ac:dyDescent="0.25">
      <c r="A146" s="204" t="s">
        <v>213</v>
      </c>
      <c r="B146" s="9" t="str">
        <f t="shared" si="4"/>
        <v>10630450</v>
      </c>
      <c r="C146" s="9" t="str">
        <f>VLOOKUP(B146,COA!A:B,2,FALSE)</f>
        <v>CCNC Struct &amp; Imp - Admin &amp; General</v>
      </c>
      <c r="D146" s="338" t="str">
        <f t="shared" si="5"/>
        <v>C3045</v>
      </c>
      <c r="E146" s="338" t="s">
        <v>6870</v>
      </c>
      <c r="F146" s="338" t="s">
        <v>31</v>
      </c>
      <c r="G146" s="338" t="s">
        <v>7205</v>
      </c>
      <c r="H146" s="204" t="s">
        <v>77</v>
      </c>
      <c r="I146" s="204" t="s">
        <v>7206</v>
      </c>
    </row>
    <row r="147" spans="1:9" x14ac:dyDescent="0.25">
      <c r="A147" s="204" t="s">
        <v>214</v>
      </c>
      <c r="B147" s="9" t="str">
        <f t="shared" si="4"/>
        <v>10630500</v>
      </c>
      <c r="C147" s="9" t="str">
        <f>VLOOKUP(B147,COA!A:B,2,FALSE)</f>
        <v>CCNC Collect &amp; Impounding</v>
      </c>
      <c r="D147" s="338" t="str">
        <f t="shared" si="5"/>
        <v>C3052</v>
      </c>
      <c r="E147" s="338" t="s">
        <v>6870</v>
      </c>
      <c r="F147" s="338" t="s">
        <v>23</v>
      </c>
      <c r="G147" s="338" t="s">
        <v>7207</v>
      </c>
      <c r="H147" s="204" t="s">
        <v>77</v>
      </c>
      <c r="I147" s="204" t="s">
        <v>7208</v>
      </c>
    </row>
    <row r="148" spans="1:9" x14ac:dyDescent="0.25">
      <c r="A148" s="204" t="s">
        <v>215</v>
      </c>
      <c r="B148" s="9" t="str">
        <f t="shared" si="4"/>
        <v>10630600</v>
      </c>
      <c r="C148" s="9" t="str">
        <f>VLOOKUP(B148,COA!A:B,2,FALSE)</f>
        <v>CCNC Lake &amp; River &amp; Other</v>
      </c>
      <c r="D148" s="338" t="str">
        <f t="shared" si="5"/>
        <v>C3062</v>
      </c>
      <c r="E148" s="338" t="s">
        <v>6870</v>
      </c>
      <c r="F148" s="338" t="s">
        <v>23</v>
      </c>
      <c r="G148" s="338" t="s">
        <v>7209</v>
      </c>
      <c r="H148" s="204" t="s">
        <v>77</v>
      </c>
      <c r="I148" s="204" t="s">
        <v>7210</v>
      </c>
    </row>
    <row r="149" spans="1:9" x14ac:dyDescent="0.25">
      <c r="A149" s="204" t="s">
        <v>216</v>
      </c>
      <c r="B149" s="9" t="str">
        <f t="shared" si="4"/>
        <v>10630700</v>
      </c>
      <c r="C149" s="9" t="str">
        <f>VLOOKUP(B149,COA!A:B,2,FALSE)</f>
        <v>CCNC Wells &amp; Springs</v>
      </c>
      <c r="D149" s="338" t="str">
        <f t="shared" si="5"/>
        <v>C3072</v>
      </c>
      <c r="E149" s="338" t="s">
        <v>6870</v>
      </c>
      <c r="F149" s="338" t="s">
        <v>23</v>
      </c>
      <c r="G149" s="338" t="s">
        <v>24</v>
      </c>
      <c r="H149" s="204" t="s">
        <v>77</v>
      </c>
      <c r="I149" s="204" t="s">
        <v>7211</v>
      </c>
    </row>
    <row r="150" spans="1:9" x14ac:dyDescent="0.25">
      <c r="A150" s="204" t="s">
        <v>217</v>
      </c>
      <c r="B150" s="9" t="str">
        <f t="shared" si="4"/>
        <v>10630800</v>
      </c>
      <c r="C150" s="9" t="str">
        <f>VLOOKUP(B150,COA!A:B,2,FALSE)</f>
        <v>CCNC Infiltration Galleries</v>
      </c>
      <c r="D150" s="338" t="str">
        <f t="shared" si="5"/>
        <v>C3082</v>
      </c>
      <c r="E150" s="338" t="s">
        <v>6870</v>
      </c>
      <c r="F150" s="338" t="s">
        <v>23</v>
      </c>
      <c r="G150" s="338" t="s">
        <v>7212</v>
      </c>
      <c r="H150" s="204" t="s">
        <v>77</v>
      </c>
      <c r="I150" s="204" t="s">
        <v>7213</v>
      </c>
    </row>
    <row r="151" spans="1:9" x14ac:dyDescent="0.25">
      <c r="A151" s="204" t="s">
        <v>218</v>
      </c>
      <c r="B151" s="9" t="str">
        <f t="shared" si="4"/>
        <v>10630900</v>
      </c>
      <c r="C151" s="9" t="str">
        <f>VLOOKUP(B151,COA!A:B,2,FALSE)</f>
        <v>CCNC Supply Mains</v>
      </c>
      <c r="D151" s="338" t="str">
        <f t="shared" si="5"/>
        <v>C3092</v>
      </c>
      <c r="E151" s="338" t="s">
        <v>6870</v>
      </c>
      <c r="F151" s="338" t="s">
        <v>23</v>
      </c>
      <c r="G151" s="338" t="s">
        <v>25</v>
      </c>
      <c r="H151" s="204" t="s">
        <v>77</v>
      </c>
      <c r="I151" s="204" t="s">
        <v>7214</v>
      </c>
    </row>
    <row r="152" spans="1:9" x14ac:dyDescent="0.25">
      <c r="A152" s="204" t="s">
        <v>219</v>
      </c>
      <c r="B152" s="9" t="str">
        <f t="shared" si="4"/>
        <v>10631000</v>
      </c>
      <c r="C152" s="9" t="str">
        <f>VLOOKUP(B152,COA!A:B,2,FALSE)</f>
        <v>CCNC Power Generation Equipment</v>
      </c>
      <c r="D152" s="338" t="str">
        <f t="shared" si="5"/>
        <v>C3102</v>
      </c>
      <c r="E152" s="338" t="s">
        <v>6870</v>
      </c>
      <c r="F152" s="338" t="s">
        <v>6865</v>
      </c>
      <c r="G152" s="338" t="s">
        <v>7215</v>
      </c>
      <c r="H152" s="204" t="s">
        <v>77</v>
      </c>
      <c r="I152" s="204" t="s">
        <v>7216</v>
      </c>
    </row>
    <row r="153" spans="1:9" x14ac:dyDescent="0.25">
      <c r="A153" s="204" t="s">
        <v>220</v>
      </c>
      <c r="B153" s="9" t="str">
        <f t="shared" si="4"/>
        <v>10631020</v>
      </c>
      <c r="C153" s="9" t="str">
        <f>VLOOKUP(B153,COA!A:B,2,FALSE)</f>
        <v>CCNC Boiler Plant Equipment</v>
      </c>
      <c r="D153" s="338" t="str">
        <f t="shared" si="5"/>
        <v>C3112</v>
      </c>
      <c r="E153" s="338" t="s">
        <v>6870</v>
      </c>
      <c r="F153" s="338" t="s">
        <v>6865</v>
      </c>
      <c r="G153" s="338" t="s">
        <v>7217</v>
      </c>
      <c r="H153" s="204" t="s">
        <v>77</v>
      </c>
      <c r="I153" s="204" t="s">
        <v>7218</v>
      </c>
    </row>
    <row r="154" spans="1:9" x14ac:dyDescent="0.25">
      <c r="A154" s="204" t="s">
        <v>221</v>
      </c>
      <c r="B154" s="9" t="str">
        <f t="shared" si="4"/>
        <v>10631110</v>
      </c>
      <c r="C154" s="9" t="str">
        <f>VLOOKUP(B154,COA!A:B,2,FALSE)</f>
        <v>CCNC Pumping Equipment - Steam</v>
      </c>
      <c r="D154" s="338" t="str">
        <f t="shared" si="5"/>
        <v>C3112</v>
      </c>
      <c r="E154" s="338" t="s">
        <v>6870</v>
      </c>
      <c r="F154" s="338" t="s">
        <v>6865</v>
      </c>
      <c r="G154" s="338" t="s">
        <v>7219</v>
      </c>
      <c r="H154" s="204" t="s">
        <v>77</v>
      </c>
      <c r="I154" s="204" t="s">
        <v>7218</v>
      </c>
    </row>
    <row r="155" spans="1:9" x14ac:dyDescent="0.25">
      <c r="A155" s="204" t="s">
        <v>222</v>
      </c>
      <c r="B155" s="9" t="str">
        <f t="shared" si="4"/>
        <v>10631120</v>
      </c>
      <c r="C155" s="9" t="str">
        <f>VLOOKUP(B155,COA!A:B,2,FALSE)</f>
        <v>CCNC Pumping Equipment - Electric</v>
      </c>
      <c r="D155" s="338" t="str">
        <f t="shared" si="5"/>
        <v>C3112</v>
      </c>
      <c r="E155" s="338" t="s">
        <v>6870</v>
      </c>
      <c r="F155" s="338" t="s">
        <v>6865</v>
      </c>
      <c r="G155" s="338" t="s">
        <v>7220</v>
      </c>
      <c r="H155" s="204" t="s">
        <v>77</v>
      </c>
      <c r="I155" s="204" t="s">
        <v>7218</v>
      </c>
    </row>
    <row r="156" spans="1:9" x14ac:dyDescent="0.25">
      <c r="A156" s="204" t="s">
        <v>223</v>
      </c>
      <c r="B156" s="9" t="str">
        <f t="shared" si="4"/>
        <v>10631130</v>
      </c>
      <c r="C156" s="9" t="str">
        <f>VLOOKUP(B156,COA!A:B,2,FALSE)</f>
        <v>CCNC Pumping Equipment - Diesel</v>
      </c>
      <c r="D156" s="338" t="str">
        <f t="shared" si="5"/>
        <v>C3112</v>
      </c>
      <c r="E156" s="338" t="s">
        <v>6870</v>
      </c>
      <c r="F156" s="338" t="s">
        <v>6865</v>
      </c>
      <c r="G156" s="338" t="s">
        <v>7221</v>
      </c>
      <c r="H156" s="204" t="s">
        <v>77</v>
      </c>
      <c r="I156" s="204" t="s">
        <v>7218</v>
      </c>
    </row>
    <row r="157" spans="1:9" x14ac:dyDescent="0.25">
      <c r="A157" s="204" t="s">
        <v>224</v>
      </c>
      <c r="B157" s="9" t="str">
        <f t="shared" si="4"/>
        <v>10631140</v>
      </c>
      <c r="C157" s="9" t="str">
        <f>VLOOKUP(B157,COA!A:B,2,FALSE)</f>
        <v>CCNC Pumping Equipment - Hydraulic</v>
      </c>
      <c r="D157" s="338" t="str">
        <f t="shared" si="5"/>
        <v>C3112</v>
      </c>
      <c r="E157" s="338" t="s">
        <v>6870</v>
      </c>
      <c r="F157" s="338" t="s">
        <v>6865</v>
      </c>
      <c r="G157" s="338" t="s">
        <v>7222</v>
      </c>
      <c r="H157" s="204" t="s">
        <v>77</v>
      </c>
      <c r="I157" s="204" t="s">
        <v>7218</v>
      </c>
    </row>
    <row r="158" spans="1:9" x14ac:dyDescent="0.25">
      <c r="A158" s="204" t="s">
        <v>225</v>
      </c>
      <c r="B158" s="9" t="str">
        <f t="shared" si="4"/>
        <v>10631150</v>
      </c>
      <c r="C158" s="9" t="str">
        <f>VLOOKUP(B158,COA!A:B,2,FALSE)</f>
        <v>CCNC Pumping Equipment - Other</v>
      </c>
      <c r="D158" s="338" t="str">
        <f t="shared" si="5"/>
        <v>C3112</v>
      </c>
      <c r="E158" s="338" t="s">
        <v>6870</v>
      </c>
      <c r="F158" s="338" t="s">
        <v>6865</v>
      </c>
      <c r="G158" s="338" t="s">
        <v>7223</v>
      </c>
      <c r="H158" s="204" t="s">
        <v>77</v>
      </c>
      <c r="I158" s="204" t="s">
        <v>7218</v>
      </c>
    </row>
    <row r="159" spans="1:9" x14ac:dyDescent="0.25">
      <c r="A159" s="204" t="s">
        <v>226</v>
      </c>
      <c r="B159" s="9" t="str">
        <f t="shared" si="4"/>
        <v>10631152</v>
      </c>
      <c r="C159" s="9" t="str">
        <f>VLOOKUP(B159,COA!A:B,2,FALSE)</f>
        <v>CCNC Pumping Equipment - Source of Supply</v>
      </c>
      <c r="D159" s="338" t="str">
        <f t="shared" si="5"/>
        <v>C3112</v>
      </c>
      <c r="E159" s="338" t="s">
        <v>6870</v>
      </c>
      <c r="F159" s="338" t="s">
        <v>23</v>
      </c>
      <c r="G159" s="338" t="s">
        <v>7224</v>
      </c>
      <c r="H159" s="204" t="s">
        <v>77</v>
      </c>
      <c r="I159" s="204" t="s">
        <v>7218</v>
      </c>
    </row>
    <row r="160" spans="1:9" x14ac:dyDescent="0.25">
      <c r="A160" s="204" t="s">
        <v>227</v>
      </c>
      <c r="B160" s="9" t="str">
        <f t="shared" si="4"/>
        <v>10631153</v>
      </c>
      <c r="C160" s="9" t="str">
        <f>VLOOKUP(B160,COA!A:B,2,FALSE)</f>
        <v>CCNC Pumping Equipment - Water Treatment</v>
      </c>
      <c r="D160" s="338" t="str">
        <f t="shared" si="5"/>
        <v>C3113</v>
      </c>
      <c r="E160" s="338" t="s">
        <v>6870</v>
      </c>
      <c r="F160" s="338" t="s">
        <v>9</v>
      </c>
      <c r="G160" s="338" t="s">
        <v>7225</v>
      </c>
      <c r="H160" s="204" t="s">
        <v>77</v>
      </c>
      <c r="I160" s="204" t="s">
        <v>7226</v>
      </c>
    </row>
    <row r="161" spans="1:10" x14ac:dyDescent="0.25">
      <c r="A161" s="204" t="s">
        <v>228</v>
      </c>
      <c r="B161" s="9" t="str">
        <f t="shared" si="4"/>
        <v>10631154</v>
      </c>
      <c r="C161" s="9" t="str">
        <f>VLOOKUP(B161,COA!A:B,2,FALSE)</f>
        <v>CCNC Pumping Equipment - Transmssn &amp; Distr</v>
      </c>
      <c r="D161" s="338" t="str">
        <f t="shared" si="5"/>
        <v>C3114</v>
      </c>
      <c r="E161" s="338" t="s">
        <v>6870</v>
      </c>
      <c r="F161" s="338" t="s">
        <v>6982</v>
      </c>
      <c r="G161" s="338" t="s">
        <v>7334</v>
      </c>
      <c r="H161" s="204" t="s">
        <v>77</v>
      </c>
      <c r="I161" s="204" t="s">
        <v>7228</v>
      </c>
    </row>
    <row r="162" spans="1:10" x14ac:dyDescent="0.25">
      <c r="A162" s="204" t="s">
        <v>229</v>
      </c>
      <c r="B162" s="9" t="str">
        <f t="shared" si="4"/>
        <v>10632010</v>
      </c>
      <c r="C162" s="9" t="str">
        <f>VLOOKUP(B162,COA!A:B,2,FALSE)</f>
        <v>CCNC Water Treatment Equipment -  Non-Media</v>
      </c>
      <c r="D162" s="338" t="str">
        <f t="shared" si="5"/>
        <v>C3203</v>
      </c>
      <c r="E162" s="338" t="s">
        <v>6870</v>
      </c>
      <c r="F162" s="338" t="s">
        <v>9</v>
      </c>
      <c r="G162" s="338" t="s">
        <v>7335</v>
      </c>
      <c r="H162" s="204" t="s">
        <v>77</v>
      </c>
      <c r="I162" s="204" t="s">
        <v>7230</v>
      </c>
    </row>
    <row r="163" spans="1:10" x14ac:dyDescent="0.25">
      <c r="A163" s="204" t="s">
        <v>230</v>
      </c>
      <c r="B163" s="9" t="str">
        <f t="shared" si="4"/>
        <v>10633000</v>
      </c>
      <c r="C163" s="9" t="str">
        <f>VLOOKUP(B163,COA!A:B,2,FALSE)</f>
        <v>CCNC Distribution Reservoirs &amp; Standpipes</v>
      </c>
      <c r="D163" s="338" t="str">
        <f t="shared" si="5"/>
        <v>C3304</v>
      </c>
      <c r="E163" s="338" t="s">
        <v>6870</v>
      </c>
      <c r="F163" s="338" t="s">
        <v>6982</v>
      </c>
      <c r="G163" s="338" t="s">
        <v>7231</v>
      </c>
      <c r="H163" s="204" t="s">
        <v>77</v>
      </c>
      <c r="I163" s="204" t="s">
        <v>7232</v>
      </c>
    </row>
    <row r="164" spans="1:10" x14ac:dyDescent="0.25">
      <c r="A164" s="204" t="s">
        <v>231</v>
      </c>
      <c r="B164" s="9" t="str">
        <f t="shared" si="4"/>
        <v>10633100</v>
      </c>
      <c r="C164" s="9" t="str">
        <f>VLOOKUP(B164,COA!A:B,2,FALSE)</f>
        <v>CCNC Transmssn &amp; Distr Mains Not Classified</v>
      </c>
      <c r="D164" s="338" t="str">
        <f t="shared" si="5"/>
        <v>C3314</v>
      </c>
      <c r="E164" s="338" t="s">
        <v>6870</v>
      </c>
      <c r="F164" s="338" t="s">
        <v>6982</v>
      </c>
      <c r="G164" s="338" t="s">
        <v>7336</v>
      </c>
      <c r="H164" s="204" t="s">
        <v>77</v>
      </c>
      <c r="I164" s="204" t="s">
        <v>7234</v>
      </c>
    </row>
    <row r="165" spans="1:10" x14ac:dyDescent="0.25">
      <c r="A165" s="204" t="s">
        <v>232</v>
      </c>
      <c r="B165" s="9" t="str">
        <f t="shared" si="4"/>
        <v>10633200</v>
      </c>
      <c r="C165" s="9" t="str">
        <f>VLOOKUP(B165,COA!A:B,2,FALSE)</f>
        <v>CCNC Fire Mains</v>
      </c>
      <c r="D165" s="338" t="str">
        <f t="shared" si="5"/>
        <v>C3314</v>
      </c>
      <c r="E165" s="338" t="s">
        <v>6870</v>
      </c>
      <c r="F165" s="338" t="s">
        <v>30</v>
      </c>
      <c r="G165" s="338" t="s">
        <v>26</v>
      </c>
      <c r="H165" s="204" t="s">
        <v>77</v>
      </c>
      <c r="I165" s="204" t="s">
        <v>7234</v>
      </c>
      <c r="J165" s="205"/>
    </row>
    <row r="166" spans="1:10" x14ac:dyDescent="0.25">
      <c r="A166" s="204" t="s">
        <v>233</v>
      </c>
      <c r="B166" s="9" t="str">
        <f t="shared" si="4"/>
        <v>10633300</v>
      </c>
      <c r="C166" s="9" t="str">
        <f>VLOOKUP(B166,COA!A:B,2,FALSE)</f>
        <v>CCNC Services</v>
      </c>
      <c r="D166" s="338" t="str">
        <f t="shared" si="5"/>
        <v>C3334</v>
      </c>
      <c r="E166" s="338" t="s">
        <v>6870</v>
      </c>
      <c r="F166" s="338" t="s">
        <v>27</v>
      </c>
      <c r="G166" s="338" t="s">
        <v>27</v>
      </c>
      <c r="H166" s="204" t="s">
        <v>77</v>
      </c>
      <c r="I166" s="204" t="s">
        <v>7235</v>
      </c>
    </row>
    <row r="167" spans="1:10" x14ac:dyDescent="0.25">
      <c r="A167" s="204" t="s">
        <v>234</v>
      </c>
      <c r="B167" s="9" t="str">
        <f t="shared" si="4"/>
        <v>10633410</v>
      </c>
      <c r="C167" s="9" t="str">
        <f>VLOOKUP(B167,COA!A:B,2,FALSE)</f>
        <v>CCNC Meters</v>
      </c>
      <c r="D167" s="338" t="str">
        <f t="shared" si="5"/>
        <v>C3344</v>
      </c>
      <c r="E167" s="338" t="s">
        <v>6870</v>
      </c>
      <c r="F167" s="338" t="s">
        <v>28</v>
      </c>
      <c r="G167" s="338" t="s">
        <v>28</v>
      </c>
      <c r="H167" s="204" t="s">
        <v>77</v>
      </c>
      <c r="I167" s="204" t="s">
        <v>7236</v>
      </c>
    </row>
    <row r="168" spans="1:10" x14ac:dyDescent="0.25">
      <c r="A168" s="204" t="s">
        <v>235</v>
      </c>
      <c r="B168" s="9" t="str">
        <f t="shared" si="4"/>
        <v>10633420</v>
      </c>
      <c r="C168" s="9" t="str">
        <f>VLOOKUP(B168,COA!A:B,2,FALSE)</f>
        <v>CCNC Meter Installations</v>
      </c>
      <c r="D168" s="338" t="str">
        <f t="shared" si="5"/>
        <v>C3344</v>
      </c>
      <c r="E168" s="338" t="s">
        <v>6870</v>
      </c>
      <c r="F168" s="338" t="s">
        <v>28</v>
      </c>
      <c r="G168" s="338" t="s">
        <v>29</v>
      </c>
      <c r="H168" s="204" t="s">
        <v>77</v>
      </c>
      <c r="I168" s="204" t="s">
        <v>7236</v>
      </c>
    </row>
    <row r="169" spans="1:10" x14ac:dyDescent="0.25">
      <c r="A169" s="204" t="s">
        <v>236</v>
      </c>
      <c r="B169" s="9" t="str">
        <f t="shared" si="4"/>
        <v>10633500</v>
      </c>
      <c r="C169" s="9" t="str">
        <f>VLOOKUP(B169,COA!A:B,2,FALSE)</f>
        <v>CCNC Hydrants</v>
      </c>
      <c r="D169" s="338" t="str">
        <f t="shared" si="5"/>
        <v>C3354</v>
      </c>
      <c r="E169" s="338" t="s">
        <v>6870</v>
      </c>
      <c r="F169" s="338" t="s">
        <v>30</v>
      </c>
      <c r="G169" s="338" t="s">
        <v>30</v>
      </c>
      <c r="H169" s="204" t="s">
        <v>77</v>
      </c>
      <c r="I169" s="204" t="s">
        <v>7237</v>
      </c>
    </row>
    <row r="170" spans="1:10" x14ac:dyDescent="0.25">
      <c r="A170" s="204" t="s">
        <v>237</v>
      </c>
      <c r="B170" s="9" t="str">
        <f t="shared" si="4"/>
        <v>10633600</v>
      </c>
      <c r="C170" s="9" t="str">
        <f>VLOOKUP(B170,COA!A:B,2,FALSE)</f>
        <v>CCNC Backflow Prevention</v>
      </c>
      <c r="D170" s="338" t="str">
        <f t="shared" si="5"/>
        <v>C3364</v>
      </c>
      <c r="E170" s="338" t="s">
        <v>6870</v>
      </c>
      <c r="F170" s="338" t="s">
        <v>28</v>
      </c>
      <c r="G170" s="338" t="s">
        <v>27</v>
      </c>
      <c r="H170" s="204" t="s">
        <v>77</v>
      </c>
      <c r="I170" s="204" t="s">
        <v>7238</v>
      </c>
    </row>
    <row r="171" spans="1:10" x14ac:dyDescent="0.25">
      <c r="A171" s="204" t="s">
        <v>238</v>
      </c>
      <c r="B171" s="9" t="str">
        <f t="shared" si="4"/>
        <v>10633910</v>
      </c>
      <c r="C171" s="9" t="str">
        <f>VLOOKUP(B171,COA!A:B,2,FALSE)</f>
        <v>CCNC Other P/E - Intangible</v>
      </c>
      <c r="D171" s="338" t="str">
        <f t="shared" si="5"/>
        <v>C3391</v>
      </c>
      <c r="E171" s="338" t="s">
        <v>6870</v>
      </c>
      <c r="F171" s="338" t="s">
        <v>20</v>
      </c>
      <c r="G171" s="338" t="s">
        <v>7239</v>
      </c>
      <c r="H171" s="204" t="s">
        <v>77</v>
      </c>
      <c r="I171" s="204" t="s">
        <v>7240</v>
      </c>
    </row>
    <row r="172" spans="1:10" x14ac:dyDescent="0.25">
      <c r="A172" s="204" t="s">
        <v>239</v>
      </c>
      <c r="B172" s="9" t="str">
        <f t="shared" si="4"/>
        <v>10633920</v>
      </c>
      <c r="C172" s="9" t="str">
        <f>VLOOKUP(B172,COA!A:B,2,FALSE)</f>
        <v>CCNC Other P/E - Source of Supply</v>
      </c>
      <c r="D172" s="338" t="str">
        <f t="shared" si="5"/>
        <v>C3392</v>
      </c>
      <c r="E172" s="338" t="s">
        <v>6870</v>
      </c>
      <c r="F172" s="338" t="s">
        <v>23</v>
      </c>
      <c r="G172" s="338" t="s">
        <v>7241</v>
      </c>
      <c r="H172" s="204" t="s">
        <v>77</v>
      </c>
      <c r="I172" s="204" t="s">
        <v>7242</v>
      </c>
    </row>
    <row r="173" spans="1:10" x14ac:dyDescent="0.25">
      <c r="A173" s="204" t="s">
        <v>240</v>
      </c>
      <c r="B173" s="9" t="str">
        <f t="shared" si="4"/>
        <v>10633930</v>
      </c>
      <c r="C173" s="9" t="str">
        <f>VLOOKUP(B173,COA!A:B,2,FALSE)</f>
        <v>CCNC Other P/E - Water Treatment</v>
      </c>
      <c r="D173" s="338" t="str">
        <f t="shared" si="5"/>
        <v>C3393</v>
      </c>
      <c r="E173" s="338" t="s">
        <v>6870</v>
      </c>
      <c r="F173" s="338" t="s">
        <v>9</v>
      </c>
      <c r="G173" s="338" t="s">
        <v>7243</v>
      </c>
      <c r="H173" s="204" t="s">
        <v>77</v>
      </c>
      <c r="I173" s="204" t="s">
        <v>7244</v>
      </c>
    </row>
    <row r="174" spans="1:10" x14ac:dyDescent="0.25">
      <c r="A174" s="204" t="s">
        <v>241</v>
      </c>
      <c r="B174" s="9" t="str">
        <f t="shared" si="4"/>
        <v>10633950</v>
      </c>
      <c r="C174" s="9" t="str">
        <f>VLOOKUP(B174,COA!A:B,2,FALSE)</f>
        <v>CCNC Other P/E - Transmission &amp; Distribution</v>
      </c>
      <c r="D174" s="338" t="str">
        <f t="shared" si="5"/>
        <v>C3394</v>
      </c>
      <c r="E174" s="338" t="s">
        <v>6870</v>
      </c>
      <c r="F174" s="338" t="s">
        <v>6982</v>
      </c>
      <c r="G174" s="338" t="s">
        <v>7245</v>
      </c>
      <c r="H174" s="204" t="s">
        <v>77</v>
      </c>
      <c r="I174" s="204" t="s">
        <v>7246</v>
      </c>
    </row>
    <row r="175" spans="1:10" x14ac:dyDescent="0.25">
      <c r="A175" s="204" t="s">
        <v>242</v>
      </c>
      <c r="B175" s="9" t="str">
        <f t="shared" si="4"/>
        <v>10634010</v>
      </c>
      <c r="C175" s="9" t="str">
        <f>VLOOKUP(B175,COA!A:B,2,FALSE)</f>
        <v>CCNC Office Furniture &amp; Equipment</v>
      </c>
      <c r="D175" s="338" t="str">
        <f t="shared" si="5"/>
        <v>C3405</v>
      </c>
      <c r="E175" s="338" t="s">
        <v>6870</v>
      </c>
      <c r="F175" s="338" t="s">
        <v>31</v>
      </c>
      <c r="G175" s="338" t="s">
        <v>7247</v>
      </c>
      <c r="H175" s="204" t="s">
        <v>77</v>
      </c>
      <c r="I175" s="204" t="s">
        <v>7248</v>
      </c>
    </row>
    <row r="176" spans="1:10" x14ac:dyDescent="0.25">
      <c r="A176" s="204" t="s">
        <v>243</v>
      </c>
      <c r="B176" s="9" t="str">
        <f t="shared" si="4"/>
        <v>10634100</v>
      </c>
      <c r="C176" s="9" t="str">
        <f>VLOOKUP(B176,COA!A:B,2,FALSE)</f>
        <v>CCNC Transportation Equipment Not Classified</v>
      </c>
      <c r="D176" s="338" t="str">
        <f t="shared" si="5"/>
        <v>C3415</v>
      </c>
      <c r="E176" s="338" t="s">
        <v>6870</v>
      </c>
      <c r="F176" s="338" t="s">
        <v>31</v>
      </c>
      <c r="G176" s="338" t="s">
        <v>7337</v>
      </c>
      <c r="H176" s="204" t="s">
        <v>77</v>
      </c>
      <c r="I176" s="204" t="s">
        <v>7250</v>
      </c>
    </row>
    <row r="177" spans="1:9" x14ac:dyDescent="0.25">
      <c r="A177" s="204" t="s">
        <v>244</v>
      </c>
      <c r="B177" s="9" t="str">
        <f t="shared" si="4"/>
        <v>10634200</v>
      </c>
      <c r="C177" s="9" t="str">
        <f>VLOOKUP(B177,COA!A:B,2,FALSE)</f>
        <v>CCNC Stores Equipment</v>
      </c>
      <c r="D177" s="338" t="str">
        <f t="shared" si="5"/>
        <v>C3425</v>
      </c>
      <c r="E177" s="338" t="s">
        <v>6870</v>
      </c>
      <c r="F177" s="338" t="s">
        <v>31</v>
      </c>
      <c r="G177" s="338" t="s">
        <v>32</v>
      </c>
      <c r="H177" s="204" t="s">
        <v>77</v>
      </c>
      <c r="I177" s="204" t="s">
        <v>7251</v>
      </c>
    </row>
    <row r="178" spans="1:9" x14ac:dyDescent="0.25">
      <c r="A178" s="204" t="s">
        <v>245</v>
      </c>
      <c r="B178" s="9" t="str">
        <f t="shared" si="4"/>
        <v>10634300</v>
      </c>
      <c r="C178" s="9" t="str">
        <f>VLOOKUP(B178,COA!A:B,2,FALSE)</f>
        <v>CCNC Tools-Shop-Garage Equipment</v>
      </c>
      <c r="D178" s="338" t="str">
        <f t="shared" si="5"/>
        <v>C3435</v>
      </c>
      <c r="E178" s="338" t="s">
        <v>6870</v>
      </c>
      <c r="F178" s="338" t="s">
        <v>31</v>
      </c>
      <c r="G178" s="338" t="s">
        <v>7252</v>
      </c>
      <c r="H178" s="204" t="s">
        <v>77</v>
      </c>
      <c r="I178" s="204" t="s">
        <v>7253</v>
      </c>
    </row>
    <row r="179" spans="1:9" x14ac:dyDescent="0.25">
      <c r="A179" s="204" t="s">
        <v>246</v>
      </c>
      <c r="B179" s="9" t="str">
        <f t="shared" si="4"/>
        <v>10634400</v>
      </c>
      <c r="C179" s="9" t="str">
        <f>VLOOKUP(B179,COA!A:B,2,FALSE)</f>
        <v>CCNC Laboratory Equipment</v>
      </c>
      <c r="D179" s="338" t="str">
        <f t="shared" si="5"/>
        <v>C3445</v>
      </c>
      <c r="E179" s="338" t="s">
        <v>6870</v>
      </c>
      <c r="F179" s="338" t="s">
        <v>31</v>
      </c>
      <c r="G179" s="338" t="s">
        <v>33</v>
      </c>
      <c r="H179" s="204" t="s">
        <v>77</v>
      </c>
      <c r="I179" s="204" t="s">
        <v>7254</v>
      </c>
    </row>
    <row r="180" spans="1:9" x14ac:dyDescent="0.25">
      <c r="A180" s="204" t="s">
        <v>247</v>
      </c>
      <c r="B180" s="9" t="str">
        <f t="shared" si="4"/>
        <v>10634500</v>
      </c>
      <c r="C180" s="9" t="str">
        <f>VLOOKUP(B180,COA!A:B,2,FALSE)</f>
        <v>CCNC Power Operated Equipment</v>
      </c>
      <c r="D180" s="338" t="str">
        <f t="shared" si="5"/>
        <v>C3455</v>
      </c>
      <c r="E180" s="338" t="s">
        <v>6870</v>
      </c>
      <c r="F180" s="338" t="s">
        <v>31</v>
      </c>
      <c r="G180" s="338" t="s">
        <v>34</v>
      </c>
      <c r="H180" s="204" t="s">
        <v>77</v>
      </c>
      <c r="I180" s="204" t="s">
        <v>7255</v>
      </c>
    </row>
    <row r="181" spans="1:9" x14ac:dyDescent="0.25">
      <c r="A181" s="204" t="s">
        <v>248</v>
      </c>
      <c r="B181" s="9" t="str">
        <f t="shared" si="4"/>
        <v>10634600</v>
      </c>
      <c r="C181" s="9" t="str">
        <f>VLOOKUP(B181,COA!A:B,2,FALSE)</f>
        <v>CCNC Communication Equipment</v>
      </c>
      <c r="D181" s="338" t="str">
        <f t="shared" si="5"/>
        <v>C3465</v>
      </c>
      <c r="E181" s="338" t="s">
        <v>6870</v>
      </c>
      <c r="F181" s="338" t="s">
        <v>31</v>
      </c>
      <c r="G181" s="338" t="s">
        <v>7256</v>
      </c>
      <c r="H181" s="204" t="s">
        <v>77</v>
      </c>
      <c r="I181" s="204" t="s">
        <v>7257</v>
      </c>
    </row>
    <row r="182" spans="1:9" x14ac:dyDescent="0.25">
      <c r="A182" s="204" t="s">
        <v>249</v>
      </c>
      <c r="B182" s="9" t="str">
        <f t="shared" si="4"/>
        <v>10634700</v>
      </c>
      <c r="C182" s="9" t="str">
        <f>VLOOKUP(B182,COA!A:B,2,FALSE)</f>
        <v>CCNC Misc Equipment</v>
      </c>
      <c r="D182" s="338" t="str">
        <f t="shared" si="5"/>
        <v>C3475</v>
      </c>
      <c r="E182" s="338" t="s">
        <v>6870</v>
      </c>
      <c r="F182" s="338" t="s">
        <v>31</v>
      </c>
      <c r="G182" s="338" t="s">
        <v>35</v>
      </c>
      <c r="H182" s="204" t="s">
        <v>77</v>
      </c>
      <c r="I182" s="204" t="s">
        <v>7258</v>
      </c>
    </row>
    <row r="183" spans="1:9" x14ac:dyDescent="0.25">
      <c r="A183" s="204" t="s">
        <v>250</v>
      </c>
      <c r="B183" s="9" t="str">
        <f t="shared" si="4"/>
        <v>10634800</v>
      </c>
      <c r="C183" s="9" t="str">
        <f>VLOOKUP(B183,COA!A:B,2,FALSE)</f>
        <v>CCNC Other Tangible Property</v>
      </c>
      <c r="D183" s="338" t="str">
        <f t="shared" si="5"/>
        <v>C3485</v>
      </c>
      <c r="E183" s="338" t="s">
        <v>6870</v>
      </c>
      <c r="F183" s="338" t="s">
        <v>31</v>
      </c>
      <c r="G183" s="338" t="s">
        <v>36</v>
      </c>
      <c r="H183" s="204" t="s">
        <v>77</v>
      </c>
      <c r="I183" s="204" t="s">
        <v>7259</v>
      </c>
    </row>
    <row r="184" spans="1:9" x14ac:dyDescent="0.25">
      <c r="A184" s="204" t="s">
        <v>251</v>
      </c>
      <c r="B184" s="9" t="str">
        <f t="shared" si="4"/>
        <v>10635320</v>
      </c>
      <c r="C184" s="9" t="str">
        <f>VLOOKUP(B184,COA!A:B,2,FALSE)</f>
        <v>CCNC WW Land &amp; Land Rights - Coll</v>
      </c>
      <c r="D184" s="338" t="str">
        <f t="shared" si="5"/>
        <v>C3532</v>
      </c>
      <c r="E184" s="338" t="s">
        <v>6870</v>
      </c>
      <c r="F184" s="338" t="s">
        <v>6957</v>
      </c>
      <c r="G184" s="338" t="s">
        <v>7263</v>
      </c>
      <c r="H184" s="204" t="s">
        <v>77</v>
      </c>
      <c r="I184" s="204" t="s">
        <v>7264</v>
      </c>
    </row>
    <row r="185" spans="1:9" x14ac:dyDescent="0.25">
      <c r="A185" s="204" t="s">
        <v>252</v>
      </c>
      <c r="B185" s="9" t="str">
        <f t="shared" si="4"/>
        <v>10635330</v>
      </c>
      <c r="C185" s="9" t="str">
        <f>VLOOKUP(B185,COA!A:B,2,FALSE)</f>
        <v>CCNC WW Land &amp; Land Rights - SPP</v>
      </c>
      <c r="D185" s="338" t="str">
        <f t="shared" si="5"/>
        <v>C3533</v>
      </c>
      <c r="E185" s="338" t="s">
        <v>6870</v>
      </c>
      <c r="F185" s="338" t="s">
        <v>6957</v>
      </c>
      <c r="G185" s="338" t="s">
        <v>7265</v>
      </c>
      <c r="H185" s="204" t="s">
        <v>77</v>
      </c>
      <c r="I185" s="204" t="s">
        <v>7266</v>
      </c>
    </row>
    <row r="186" spans="1:9" x14ac:dyDescent="0.25">
      <c r="A186" s="204" t="s">
        <v>253</v>
      </c>
      <c r="B186" s="9" t="str">
        <f t="shared" si="4"/>
        <v>10635340</v>
      </c>
      <c r="C186" s="9" t="str">
        <f>VLOOKUP(B186,COA!A:B,2,FALSE)</f>
        <v>CCNC WW Land &amp; Land Rights - TDP</v>
      </c>
      <c r="D186" s="338" t="str">
        <f t="shared" si="5"/>
        <v>C3534</v>
      </c>
      <c r="E186" s="338" t="s">
        <v>6870</v>
      </c>
      <c r="F186" s="338" t="s">
        <v>6957</v>
      </c>
      <c r="G186" s="338" t="s">
        <v>7267</v>
      </c>
      <c r="H186" s="204" t="s">
        <v>77</v>
      </c>
      <c r="I186" s="204" t="s">
        <v>7268</v>
      </c>
    </row>
    <row r="187" spans="1:9" x14ac:dyDescent="0.25">
      <c r="A187" s="204" t="s">
        <v>254</v>
      </c>
      <c r="B187" s="9" t="str">
        <f t="shared" si="4"/>
        <v>10635350</v>
      </c>
      <c r="C187" s="9" t="str">
        <f>VLOOKUP(B187,COA!A:B,2,FALSE)</f>
        <v>CCNC WW Land &amp; Land Rights - Gen</v>
      </c>
      <c r="D187" s="338" t="str">
        <f t="shared" si="5"/>
        <v>C3537</v>
      </c>
      <c r="E187" s="338" t="s">
        <v>6870</v>
      </c>
      <c r="F187" s="338" t="s">
        <v>6957</v>
      </c>
      <c r="G187" s="338" t="s">
        <v>7338</v>
      </c>
      <c r="H187" s="204" t="s">
        <v>77</v>
      </c>
      <c r="I187" s="204" t="s">
        <v>7270</v>
      </c>
    </row>
    <row r="188" spans="1:9" x14ac:dyDescent="0.25">
      <c r="A188" s="204" t="s">
        <v>255</v>
      </c>
      <c r="B188" s="9" t="str">
        <f t="shared" si="4"/>
        <v>10635420</v>
      </c>
      <c r="C188" s="9" t="str">
        <f>VLOOKUP(B188,COA!A:B,2,FALSE)</f>
        <v>CCNC WW Struct &amp; Imp - Coll</v>
      </c>
      <c r="D188" s="338" t="str">
        <f t="shared" si="5"/>
        <v>C3542</v>
      </c>
      <c r="E188" s="338" t="s">
        <v>6870</v>
      </c>
      <c r="F188" s="338" t="s">
        <v>6957</v>
      </c>
      <c r="G188" s="338" t="s">
        <v>7271</v>
      </c>
      <c r="H188" s="204" t="s">
        <v>77</v>
      </c>
      <c r="I188" s="204" t="s">
        <v>7272</v>
      </c>
    </row>
    <row r="189" spans="1:9" x14ac:dyDescent="0.25">
      <c r="A189" s="204" t="s">
        <v>256</v>
      </c>
      <c r="B189" s="9" t="str">
        <f t="shared" si="4"/>
        <v>10635430</v>
      </c>
      <c r="C189" s="9" t="str">
        <f>VLOOKUP(B189,COA!A:B,2,FALSE)</f>
        <v>CCNC WW Struct &amp; Imp - SPP</v>
      </c>
      <c r="D189" s="338" t="str">
        <f t="shared" si="5"/>
        <v>C3543</v>
      </c>
      <c r="E189" s="338" t="s">
        <v>6870</v>
      </c>
      <c r="F189" s="338" t="s">
        <v>6957</v>
      </c>
      <c r="G189" s="338" t="s">
        <v>7273</v>
      </c>
      <c r="H189" s="204" t="s">
        <v>77</v>
      </c>
      <c r="I189" s="204" t="s">
        <v>7274</v>
      </c>
    </row>
    <row r="190" spans="1:9" x14ac:dyDescent="0.25">
      <c r="A190" s="204" t="s">
        <v>257</v>
      </c>
      <c r="B190" s="9" t="str">
        <f t="shared" si="4"/>
        <v>10635440</v>
      </c>
      <c r="C190" s="9" t="str">
        <f>VLOOKUP(B190,COA!A:B,2,FALSE)</f>
        <v>CCNC WW Struct &amp; Imp - TDP</v>
      </c>
      <c r="D190" s="338" t="str">
        <f t="shared" si="5"/>
        <v>C3544</v>
      </c>
      <c r="E190" s="338" t="s">
        <v>6870</v>
      </c>
      <c r="F190" s="338" t="s">
        <v>6957</v>
      </c>
      <c r="G190" s="338" t="s">
        <v>7275</v>
      </c>
      <c r="H190" s="204" t="s">
        <v>77</v>
      </c>
      <c r="I190" s="204" t="s">
        <v>7276</v>
      </c>
    </row>
    <row r="191" spans="1:9" x14ac:dyDescent="0.25">
      <c r="A191" s="204" t="s">
        <v>258</v>
      </c>
      <c r="B191" s="9" t="str">
        <f t="shared" si="4"/>
        <v>10635450</v>
      </c>
      <c r="C191" s="9" t="str">
        <f>VLOOKUP(B191,COA!A:B,2,FALSE)</f>
        <v>CCNC WW Struct &amp; Imp - Gen</v>
      </c>
      <c r="D191" s="338" t="str">
        <f t="shared" si="5"/>
        <v>C3547</v>
      </c>
      <c r="E191" s="338" t="s">
        <v>6870</v>
      </c>
      <c r="F191" s="338" t="s">
        <v>6957</v>
      </c>
      <c r="G191" s="338" t="s">
        <v>7339</v>
      </c>
      <c r="H191" s="204" t="s">
        <v>77</v>
      </c>
      <c r="I191" s="204" t="s">
        <v>7278</v>
      </c>
    </row>
    <row r="192" spans="1:9" x14ac:dyDescent="0.25">
      <c r="A192" s="204" t="s">
        <v>259</v>
      </c>
      <c r="B192" s="9" t="str">
        <f t="shared" si="4"/>
        <v>10635520</v>
      </c>
      <c r="C192" s="9" t="str">
        <f>VLOOKUP(B192,COA!A:B,2,FALSE)</f>
        <v>CCNC WW Power Gen Equipment - Col</v>
      </c>
      <c r="D192" s="338" t="str">
        <f t="shared" si="5"/>
        <v>C3552</v>
      </c>
      <c r="E192" s="338" t="s">
        <v>6870</v>
      </c>
      <c r="F192" s="338" t="s">
        <v>6957</v>
      </c>
      <c r="G192" s="338" t="s">
        <v>7340</v>
      </c>
      <c r="H192" s="204" t="s">
        <v>77</v>
      </c>
      <c r="I192" s="204" t="s">
        <v>7280</v>
      </c>
    </row>
    <row r="193" spans="1:9" x14ac:dyDescent="0.25">
      <c r="A193" s="204" t="s">
        <v>260</v>
      </c>
      <c r="B193" s="9" t="str">
        <f t="shared" si="4"/>
        <v>10635530</v>
      </c>
      <c r="C193" s="9" t="str">
        <f>VLOOKUP(B193,COA!A:B,2,FALSE)</f>
        <v>CCNC WW Power Gen Equipment - SPP</v>
      </c>
      <c r="D193" s="338" t="str">
        <f t="shared" si="5"/>
        <v>C3553</v>
      </c>
      <c r="E193" s="338" t="s">
        <v>6870</v>
      </c>
      <c r="F193" s="338" t="s">
        <v>6957</v>
      </c>
      <c r="G193" s="338" t="s">
        <v>7341</v>
      </c>
      <c r="H193" s="204" t="s">
        <v>77</v>
      </c>
      <c r="I193" s="204" t="s">
        <v>7282</v>
      </c>
    </row>
    <row r="194" spans="1:9" x14ac:dyDescent="0.25">
      <c r="A194" s="204" t="s">
        <v>261</v>
      </c>
      <c r="B194" s="9" t="str">
        <f t="shared" si="4"/>
        <v>10635540</v>
      </c>
      <c r="C194" s="9" t="str">
        <f>VLOOKUP(B194,COA!A:B,2,FALSE)</f>
        <v>CCNC WW Power Gen Equipment - TDP</v>
      </c>
      <c r="D194" s="338" t="str">
        <f t="shared" si="5"/>
        <v>C3554</v>
      </c>
      <c r="E194" s="338" t="s">
        <v>6870</v>
      </c>
      <c r="F194" s="338" t="s">
        <v>6957</v>
      </c>
      <c r="G194" s="338" t="s">
        <v>7342</v>
      </c>
      <c r="H194" s="204" t="s">
        <v>77</v>
      </c>
      <c r="I194" s="204" t="s">
        <v>7284</v>
      </c>
    </row>
    <row r="195" spans="1:9" x14ac:dyDescent="0.25">
      <c r="A195" s="204" t="s">
        <v>262</v>
      </c>
      <c r="B195" s="9" t="str">
        <f t="shared" si="4"/>
        <v>10635550</v>
      </c>
      <c r="C195" s="9" t="str">
        <f>VLOOKUP(B195,COA!A:B,2,FALSE)</f>
        <v>CCNC WW Power Gen Equipment - RWT</v>
      </c>
      <c r="D195" s="338" t="str">
        <f t="shared" si="5"/>
        <v>C3555</v>
      </c>
      <c r="E195" s="338" t="s">
        <v>6870</v>
      </c>
      <c r="F195" s="338" t="s">
        <v>6957</v>
      </c>
      <c r="G195" s="338" t="s">
        <v>7343</v>
      </c>
      <c r="H195" s="204" t="s">
        <v>77</v>
      </c>
      <c r="I195" s="204" t="s">
        <v>7286</v>
      </c>
    </row>
    <row r="196" spans="1:9" x14ac:dyDescent="0.25">
      <c r="A196" s="204" t="s">
        <v>263</v>
      </c>
      <c r="B196" s="9" t="str">
        <f t="shared" si="4"/>
        <v>10635560</v>
      </c>
      <c r="C196" s="9" t="str">
        <f>VLOOKUP(B196,COA!A:B,2,FALSE)</f>
        <v>CCNC WW Power Gen Equipment - RWD</v>
      </c>
      <c r="D196" s="338" t="str">
        <f t="shared" si="5"/>
        <v>C3556</v>
      </c>
      <c r="E196" s="338" t="s">
        <v>6870</v>
      </c>
      <c r="F196" s="338" t="s">
        <v>6957</v>
      </c>
      <c r="G196" s="338" t="s">
        <v>7344</v>
      </c>
      <c r="H196" s="204" t="s">
        <v>77</v>
      </c>
      <c r="I196" s="204" t="s">
        <v>7288</v>
      </c>
    </row>
    <row r="197" spans="1:9" x14ac:dyDescent="0.25">
      <c r="A197" s="204" t="s">
        <v>264</v>
      </c>
      <c r="B197" s="9" t="str">
        <f t="shared" si="4"/>
        <v>10636000</v>
      </c>
      <c r="C197" s="9" t="str">
        <f>VLOOKUP(B197,COA!A:B,2,FALSE)</f>
        <v>CCNC WW Collection Sewers</v>
      </c>
      <c r="D197" s="338" t="str">
        <f t="shared" si="5"/>
        <v>C3602</v>
      </c>
      <c r="E197" s="338" t="s">
        <v>6870</v>
      </c>
      <c r="F197" s="338" t="s">
        <v>6957</v>
      </c>
      <c r="G197" s="338" t="s">
        <v>7289</v>
      </c>
      <c r="H197" s="204" t="s">
        <v>77</v>
      </c>
      <c r="I197" s="204" t="s">
        <v>7290</v>
      </c>
    </row>
    <row r="198" spans="1:9" x14ac:dyDescent="0.25">
      <c r="A198" s="204" t="s">
        <v>265</v>
      </c>
      <c r="B198" s="9" t="str">
        <f t="shared" si="4"/>
        <v>10636110</v>
      </c>
      <c r="C198" s="9" t="str">
        <f>VLOOKUP(B198,COA!A:B,2,FALSE)</f>
        <v>CCNC WW Collecting Mains</v>
      </c>
      <c r="D198" s="338" t="str">
        <f t="shared" si="5"/>
        <v>C3612</v>
      </c>
      <c r="E198" s="338" t="s">
        <v>6870</v>
      </c>
      <c r="F198" s="338" t="s">
        <v>6957</v>
      </c>
      <c r="G198" s="338" t="s">
        <v>6936</v>
      </c>
      <c r="H198" s="204" t="s">
        <v>77</v>
      </c>
      <c r="I198" s="204" t="s">
        <v>7291</v>
      </c>
    </row>
    <row r="199" spans="1:9" x14ac:dyDescent="0.25">
      <c r="A199" s="204" t="s">
        <v>266</v>
      </c>
      <c r="B199" s="9" t="str">
        <f t="shared" si="4"/>
        <v>10636200</v>
      </c>
      <c r="C199" s="9" t="str">
        <f>VLOOKUP(B199,COA!A:B,2,FALSE)</f>
        <v>CCNC WW Special Coll Stru</v>
      </c>
      <c r="D199" s="338" t="str">
        <f t="shared" si="5"/>
        <v>C3622</v>
      </c>
      <c r="E199" s="338" t="s">
        <v>6870</v>
      </c>
      <c r="F199" s="338" t="s">
        <v>6957</v>
      </c>
      <c r="G199" s="338" t="s">
        <v>7345</v>
      </c>
      <c r="H199" s="204" t="s">
        <v>77</v>
      </c>
      <c r="I199" s="204" t="s">
        <v>7292</v>
      </c>
    </row>
    <row r="200" spans="1:9" x14ac:dyDescent="0.25">
      <c r="A200" s="204" t="s">
        <v>267</v>
      </c>
      <c r="B200" s="9" t="str">
        <f t="shared" si="4"/>
        <v>10636300</v>
      </c>
      <c r="C200" s="9" t="str">
        <f>VLOOKUP(B200,COA!A:B,2,FALSE)</f>
        <v>CCNC WW Services Sewer</v>
      </c>
      <c r="D200" s="338" t="str">
        <f t="shared" si="5"/>
        <v>C3632</v>
      </c>
      <c r="E200" s="338" t="s">
        <v>6870</v>
      </c>
      <c r="F200" s="338" t="s">
        <v>6957</v>
      </c>
      <c r="G200" s="338" t="s">
        <v>6942</v>
      </c>
      <c r="H200" s="204" t="s">
        <v>77</v>
      </c>
      <c r="I200" s="204" t="s">
        <v>7293</v>
      </c>
    </row>
    <row r="201" spans="1:9" x14ac:dyDescent="0.25">
      <c r="A201" s="204" t="s">
        <v>268</v>
      </c>
      <c r="B201" s="9" t="str">
        <f t="shared" si="4"/>
        <v>10636400</v>
      </c>
      <c r="C201" s="9" t="str">
        <f>VLOOKUP(B201,COA!A:B,2,FALSE)</f>
        <v>CCNC WW Flow Measuring De</v>
      </c>
      <c r="D201" s="338" t="str">
        <f t="shared" si="5"/>
        <v>C3642</v>
      </c>
      <c r="E201" s="338" t="s">
        <v>6870</v>
      </c>
      <c r="F201" s="338" t="s">
        <v>6957</v>
      </c>
      <c r="G201" s="338" t="s">
        <v>7346</v>
      </c>
      <c r="H201" s="204" t="s">
        <v>77</v>
      </c>
      <c r="I201" s="204" t="s">
        <v>7295</v>
      </c>
    </row>
    <row r="202" spans="1:9" x14ac:dyDescent="0.25">
      <c r="A202" s="204" t="s">
        <v>269</v>
      </c>
      <c r="B202" s="9" t="str">
        <f t="shared" ref="B202:B264" si="6">RIGHT(A202,8)</f>
        <v>10636500</v>
      </c>
      <c r="C202" s="9" t="str">
        <f>VLOOKUP(B202,COA!A:B,2,FALSE)</f>
        <v>CCNC WW Flow Measuring In</v>
      </c>
      <c r="D202" s="338" t="str">
        <f t="shared" si="5"/>
        <v>C3652</v>
      </c>
      <c r="E202" s="338" t="s">
        <v>6870</v>
      </c>
      <c r="F202" s="338" t="s">
        <v>6957</v>
      </c>
      <c r="G202" s="338" t="s">
        <v>7347</v>
      </c>
      <c r="H202" s="204" t="s">
        <v>77</v>
      </c>
      <c r="I202" s="204" t="s">
        <v>7297</v>
      </c>
    </row>
    <row r="203" spans="1:9" x14ac:dyDescent="0.25">
      <c r="A203" s="204" t="s">
        <v>270</v>
      </c>
      <c r="B203" s="9" t="str">
        <f t="shared" si="6"/>
        <v>10637000</v>
      </c>
      <c r="C203" s="9" t="str">
        <f>VLOOKUP(B203,COA!A:B,2,FALSE)</f>
        <v>CCNC WW Receiving Wells</v>
      </c>
      <c r="D203" s="338" t="str">
        <f t="shared" ref="D203:D266" si="7">+I203</f>
        <v>C3703</v>
      </c>
      <c r="E203" s="338" t="s">
        <v>6870</v>
      </c>
      <c r="F203" s="338" t="s">
        <v>6957</v>
      </c>
      <c r="G203" s="338" t="s">
        <v>6941</v>
      </c>
      <c r="H203" s="204" t="s">
        <v>77</v>
      </c>
      <c r="I203" s="204" t="s">
        <v>7298</v>
      </c>
    </row>
    <row r="204" spans="1:9" x14ac:dyDescent="0.25">
      <c r="A204" s="204" t="s">
        <v>271</v>
      </c>
      <c r="B204" s="9" t="str">
        <f t="shared" si="6"/>
        <v>10637110</v>
      </c>
      <c r="C204" s="9" t="str">
        <f>VLOOKUP(B204,COA!A:B,2,FALSE)</f>
        <v>CCNC WW Pump Equipment - Elect</v>
      </c>
      <c r="D204" s="338" t="str">
        <f t="shared" si="7"/>
        <v>C3713</v>
      </c>
      <c r="E204" s="338" t="s">
        <v>6870</v>
      </c>
      <c r="F204" s="338" t="s">
        <v>6957</v>
      </c>
      <c r="G204" s="338" t="s">
        <v>7299</v>
      </c>
      <c r="H204" s="204" t="s">
        <v>77</v>
      </c>
      <c r="I204" s="204" t="s">
        <v>7300</v>
      </c>
    </row>
    <row r="205" spans="1:9" x14ac:dyDescent="0.25">
      <c r="A205" s="204" t="s">
        <v>272</v>
      </c>
      <c r="B205" s="9" t="str">
        <f t="shared" si="6"/>
        <v>10637120</v>
      </c>
      <c r="C205" s="9" t="str">
        <f>VLOOKUP(B205,COA!A:B,2,FALSE)</f>
        <v>CCNC WW Pump Equipment - Oth Pwr</v>
      </c>
      <c r="D205" s="338" t="str">
        <f t="shared" si="7"/>
        <v>C3713</v>
      </c>
      <c r="E205" s="338" t="s">
        <v>6870</v>
      </c>
      <c r="F205" s="338" t="s">
        <v>6957</v>
      </c>
      <c r="G205" s="338" t="s">
        <v>7301</v>
      </c>
      <c r="H205" s="204" t="s">
        <v>77</v>
      </c>
      <c r="I205" s="204" t="s">
        <v>7300</v>
      </c>
    </row>
    <row r="206" spans="1:9" x14ac:dyDescent="0.25">
      <c r="A206" s="204" t="s">
        <v>273</v>
      </c>
      <c r="B206" s="9" t="str">
        <f t="shared" si="6"/>
        <v>10638000</v>
      </c>
      <c r="C206" s="9" t="str">
        <f>VLOOKUP(B206,COA!A:B,2,FALSE)</f>
        <v>CCNC WW TD Equipment</v>
      </c>
      <c r="D206" s="338" t="str">
        <f t="shared" si="7"/>
        <v>C3804</v>
      </c>
      <c r="E206" s="338" t="s">
        <v>6870</v>
      </c>
      <c r="F206" s="338" t="s">
        <v>6957</v>
      </c>
      <c r="G206" s="338" t="s">
        <v>6944</v>
      </c>
      <c r="H206" s="204" t="s">
        <v>77</v>
      </c>
      <c r="I206" s="204" t="s">
        <v>7303</v>
      </c>
    </row>
    <row r="207" spans="1:9" x14ac:dyDescent="0.25">
      <c r="A207" s="204" t="s">
        <v>274</v>
      </c>
      <c r="B207" s="9" t="str">
        <f t="shared" si="6"/>
        <v>10638100</v>
      </c>
      <c r="C207" s="9" t="str">
        <f>VLOOKUP(B207,COA!A:B,2,FALSE)</f>
        <v>CCNC WW Plant Sewers</v>
      </c>
      <c r="D207" s="338" t="str">
        <f t="shared" si="7"/>
        <v>C3814</v>
      </c>
      <c r="E207" s="338" t="s">
        <v>6870</v>
      </c>
      <c r="F207" s="338" t="s">
        <v>6957</v>
      </c>
      <c r="G207" s="338" t="s">
        <v>6940</v>
      </c>
      <c r="H207" s="204" t="s">
        <v>77</v>
      </c>
      <c r="I207" s="204" t="s">
        <v>7304</v>
      </c>
    </row>
    <row r="208" spans="1:9" x14ac:dyDescent="0.25">
      <c r="A208" s="204" t="s">
        <v>275</v>
      </c>
      <c r="B208" s="9" t="str">
        <f t="shared" si="6"/>
        <v>10638200</v>
      </c>
      <c r="C208" s="9" t="str">
        <f>VLOOKUP(B208,COA!A:B,2,FALSE)</f>
        <v>CCNC WW Outfall Sewer Line</v>
      </c>
      <c r="D208" s="338" t="str">
        <f t="shared" si="7"/>
        <v>C3824</v>
      </c>
      <c r="E208" s="338" t="s">
        <v>6870</v>
      </c>
      <c r="F208" s="338" t="s">
        <v>6957</v>
      </c>
      <c r="G208" s="338" t="s">
        <v>7305</v>
      </c>
      <c r="H208" s="204" t="s">
        <v>77</v>
      </c>
      <c r="I208" s="204" t="s">
        <v>7306</v>
      </c>
    </row>
    <row r="209" spans="1:9" x14ac:dyDescent="0.25">
      <c r="A209" s="204" t="s">
        <v>276</v>
      </c>
      <c r="B209" s="9" t="str">
        <f t="shared" si="6"/>
        <v>10638910</v>
      </c>
      <c r="C209" s="9" t="str">
        <f>VLOOKUP(B209,COA!A:B,2,FALSE)</f>
        <v>CCNC WW Oth Plant &amp; Misc Equipment</v>
      </c>
      <c r="D209" s="338" t="str">
        <f t="shared" si="7"/>
        <v>C3891</v>
      </c>
      <c r="E209" s="338" t="s">
        <v>6870</v>
      </c>
      <c r="F209" s="338" t="s">
        <v>6957</v>
      </c>
      <c r="G209" s="338" t="s">
        <v>7307</v>
      </c>
      <c r="H209" s="204" t="s">
        <v>77</v>
      </c>
      <c r="I209" s="204" t="s">
        <v>7308</v>
      </c>
    </row>
    <row r="210" spans="1:9" x14ac:dyDescent="0.25">
      <c r="A210" s="204" t="s">
        <v>277</v>
      </c>
      <c r="B210" s="9" t="str">
        <f t="shared" si="6"/>
        <v>10638920</v>
      </c>
      <c r="C210" s="9" t="str">
        <f>VLOOKUP(B210,COA!A:B,2,FALSE)</f>
        <v>CCNC WW Oth Plant &amp; Misc Eq - Coll</v>
      </c>
      <c r="D210" s="338" t="str">
        <f t="shared" si="7"/>
        <v>C3892</v>
      </c>
      <c r="E210" s="338" t="s">
        <v>6870</v>
      </c>
      <c r="F210" s="338" t="s">
        <v>6957</v>
      </c>
      <c r="G210" s="338" t="s">
        <v>7348</v>
      </c>
      <c r="H210" s="204" t="s">
        <v>77</v>
      </c>
      <c r="I210" s="204" t="s">
        <v>7310</v>
      </c>
    </row>
    <row r="211" spans="1:9" x14ac:dyDescent="0.25">
      <c r="A211" s="204" t="s">
        <v>278</v>
      </c>
      <c r="B211" s="9" t="str">
        <f t="shared" si="6"/>
        <v>10638930</v>
      </c>
      <c r="C211" s="9" t="str">
        <f>VLOOKUP(B211,COA!A:B,2,FALSE)</f>
        <v>CCNC WW Oth Plant &amp; Misc Eq - SPP</v>
      </c>
      <c r="D211" s="338" t="str">
        <f t="shared" si="7"/>
        <v>C3893</v>
      </c>
      <c r="E211" s="338" t="s">
        <v>6870</v>
      </c>
      <c r="F211" s="338" t="s">
        <v>6957</v>
      </c>
      <c r="G211" s="338" t="s">
        <v>7349</v>
      </c>
      <c r="H211" s="204" t="s">
        <v>77</v>
      </c>
      <c r="I211" s="204" t="s">
        <v>7312</v>
      </c>
    </row>
    <row r="212" spans="1:9" x14ac:dyDescent="0.25">
      <c r="A212" s="204" t="s">
        <v>279</v>
      </c>
      <c r="B212" s="9" t="str">
        <f t="shared" si="6"/>
        <v>10638940</v>
      </c>
      <c r="C212" s="9" t="str">
        <f>VLOOKUP(B212,COA!A:B,2,FALSE)</f>
        <v>CCNC WW Oth Plant &amp; Misc Eq - TDP</v>
      </c>
      <c r="D212" s="338" t="str">
        <f t="shared" si="7"/>
        <v>C3894</v>
      </c>
      <c r="E212" s="338" t="s">
        <v>6870</v>
      </c>
      <c r="F212" s="338" t="s">
        <v>6957</v>
      </c>
      <c r="G212" s="338" t="s">
        <v>7350</v>
      </c>
      <c r="H212" s="204" t="s">
        <v>77</v>
      </c>
      <c r="I212" s="204" t="s">
        <v>7314</v>
      </c>
    </row>
    <row r="213" spans="1:9" x14ac:dyDescent="0.25">
      <c r="A213" s="204" t="s">
        <v>280</v>
      </c>
      <c r="B213" s="9" t="str">
        <f t="shared" si="6"/>
        <v>10639000</v>
      </c>
      <c r="C213" s="9" t="str">
        <f>VLOOKUP(B213,COA!A:B,2,FALSE)</f>
        <v>CCNC WW Office Furniture</v>
      </c>
      <c r="D213" s="338" t="str">
        <f t="shared" si="7"/>
        <v>C3907</v>
      </c>
      <c r="E213" s="338" t="s">
        <v>6870</v>
      </c>
      <c r="F213" s="338" t="s">
        <v>6957</v>
      </c>
      <c r="G213" s="338" t="s">
        <v>7315</v>
      </c>
      <c r="H213" s="204" t="s">
        <v>77</v>
      </c>
      <c r="I213" s="204" t="s">
        <v>7316</v>
      </c>
    </row>
    <row r="214" spans="1:9" x14ac:dyDescent="0.25">
      <c r="A214" s="204" t="s">
        <v>281</v>
      </c>
      <c r="B214" s="9" t="str">
        <f t="shared" si="6"/>
        <v>10639100</v>
      </c>
      <c r="C214" s="9" t="str">
        <f>VLOOKUP(B214,COA!A:B,2,FALSE)</f>
        <v>CCNC WW Transportation Equipment</v>
      </c>
      <c r="D214" s="338" t="str">
        <f t="shared" si="7"/>
        <v>C3917</v>
      </c>
      <c r="E214" s="338" t="s">
        <v>6870</v>
      </c>
      <c r="F214" s="338" t="s">
        <v>6957</v>
      </c>
      <c r="G214" s="338" t="s">
        <v>7317</v>
      </c>
      <c r="H214" s="204" t="s">
        <v>77</v>
      </c>
      <c r="I214" s="204" t="s">
        <v>7318</v>
      </c>
    </row>
    <row r="215" spans="1:9" x14ac:dyDescent="0.25">
      <c r="A215" s="204" t="s">
        <v>282</v>
      </c>
      <c r="B215" s="9" t="str">
        <f t="shared" si="6"/>
        <v>10639200</v>
      </c>
      <c r="C215" s="9" t="str">
        <f>VLOOKUP(B215,COA!A:B,2,FALSE)</f>
        <v>CCNC WW Stores Equipment</v>
      </c>
      <c r="D215" s="338" t="str">
        <f t="shared" si="7"/>
        <v>C3927</v>
      </c>
      <c r="E215" s="338" t="s">
        <v>6870</v>
      </c>
      <c r="F215" s="338" t="s">
        <v>6957</v>
      </c>
      <c r="G215" s="338" t="s">
        <v>6953</v>
      </c>
      <c r="H215" s="204" t="s">
        <v>77</v>
      </c>
      <c r="I215" s="204" t="s">
        <v>7319</v>
      </c>
    </row>
    <row r="216" spans="1:9" x14ac:dyDescent="0.25">
      <c r="A216" s="204" t="s">
        <v>283</v>
      </c>
      <c r="B216" s="9" t="str">
        <f t="shared" si="6"/>
        <v>10639300</v>
      </c>
      <c r="C216" s="9" t="str">
        <f>VLOOKUP(B216,COA!A:B,2,FALSE)</f>
        <v>CCNC WW Tool Shop &amp; Garage Equip</v>
      </c>
      <c r="D216" s="338" t="str">
        <f t="shared" si="7"/>
        <v>C3937</v>
      </c>
      <c r="E216" s="338" t="s">
        <v>6870</v>
      </c>
      <c r="F216" s="338" t="s">
        <v>6957</v>
      </c>
      <c r="G216" s="338" t="s">
        <v>6945</v>
      </c>
      <c r="H216" s="204" t="s">
        <v>77</v>
      </c>
      <c r="I216" s="204" t="s">
        <v>7321</v>
      </c>
    </row>
    <row r="217" spans="1:9" x14ac:dyDescent="0.25">
      <c r="A217" s="204" t="s">
        <v>284</v>
      </c>
      <c r="B217" s="9" t="str">
        <f t="shared" si="6"/>
        <v>10639400</v>
      </c>
      <c r="C217" s="9" t="str">
        <f>VLOOKUP(B217,COA!A:B,2,FALSE)</f>
        <v>CCNC WW Laboratory Equipment</v>
      </c>
      <c r="D217" s="338" t="str">
        <f t="shared" si="7"/>
        <v>C3947</v>
      </c>
      <c r="E217" s="338" t="s">
        <v>6870</v>
      </c>
      <c r="F217" s="338" t="s">
        <v>6957</v>
      </c>
      <c r="G217" s="338" t="s">
        <v>6938</v>
      </c>
      <c r="H217" s="204" t="s">
        <v>77</v>
      </c>
      <c r="I217" s="204" t="s">
        <v>7322</v>
      </c>
    </row>
    <row r="218" spans="1:9" x14ac:dyDescent="0.25">
      <c r="A218" s="204" t="s">
        <v>285</v>
      </c>
      <c r="B218" s="9" t="str">
        <f t="shared" si="6"/>
        <v>10639500</v>
      </c>
      <c r="C218" s="9" t="str">
        <f>VLOOKUP(B218,COA!A:B,2,FALSE)</f>
        <v>CCNC WW Power Operated Equip</v>
      </c>
      <c r="D218" s="338" t="str">
        <f t="shared" si="7"/>
        <v>C3957</v>
      </c>
      <c r="E218" s="338" t="s">
        <v>6870</v>
      </c>
      <c r="F218" s="338" t="s">
        <v>6957</v>
      </c>
      <c r="G218" s="338" t="s">
        <v>6954</v>
      </c>
      <c r="H218" s="204" t="s">
        <v>77</v>
      </c>
      <c r="I218" s="204" t="s">
        <v>7324</v>
      </c>
    </row>
    <row r="219" spans="1:9" x14ac:dyDescent="0.25">
      <c r="A219" s="204" t="s">
        <v>286</v>
      </c>
      <c r="B219" s="9" t="str">
        <f t="shared" si="6"/>
        <v>10639600</v>
      </c>
      <c r="C219" s="9" t="str">
        <f>VLOOKUP(B219,COA!A:B,2,FALSE)</f>
        <v>CCNC WW Communication Equip</v>
      </c>
      <c r="D219" s="338" t="str">
        <f t="shared" si="7"/>
        <v>C3967</v>
      </c>
      <c r="E219" s="338" t="s">
        <v>6870</v>
      </c>
      <c r="F219" s="338" t="s">
        <v>6957</v>
      </c>
      <c r="G219" s="338" t="s">
        <v>6937</v>
      </c>
      <c r="H219" s="204" t="s">
        <v>77</v>
      </c>
      <c r="I219" s="204" t="s">
        <v>7326</v>
      </c>
    </row>
    <row r="220" spans="1:9" x14ac:dyDescent="0.25">
      <c r="A220" s="204" t="s">
        <v>287</v>
      </c>
      <c r="B220" s="9" t="str">
        <f t="shared" si="6"/>
        <v>10639700</v>
      </c>
      <c r="C220" s="9" t="str">
        <f>VLOOKUP(B220,COA!A:B,2,FALSE)</f>
        <v>CCNC WW Misc Equipment</v>
      </c>
      <c r="D220" s="338" t="str">
        <f t="shared" si="7"/>
        <v>C3977</v>
      </c>
      <c r="E220" s="338" t="s">
        <v>6870</v>
      </c>
      <c r="F220" s="338" t="s">
        <v>6957</v>
      </c>
      <c r="G220" s="338" t="s">
        <v>6939</v>
      </c>
      <c r="H220" s="204" t="s">
        <v>77</v>
      </c>
      <c r="I220" s="204" t="s">
        <v>7327</v>
      </c>
    </row>
    <row r="221" spans="1:9" x14ac:dyDescent="0.25">
      <c r="A221" s="204" t="s">
        <v>288</v>
      </c>
      <c r="B221" s="9" t="str">
        <f t="shared" si="6"/>
        <v>10639800</v>
      </c>
      <c r="C221" s="9" t="str">
        <f>VLOOKUP(B221,COA!A:B,2,FALSE)</f>
        <v>CCNC WW Other Tangible Pl</v>
      </c>
      <c r="D221" s="338" t="str">
        <f t="shared" si="7"/>
        <v>C3987</v>
      </c>
      <c r="E221" s="338" t="s">
        <v>6870</v>
      </c>
      <c r="F221" s="338" t="s">
        <v>6957</v>
      </c>
      <c r="G221" s="338" t="s">
        <v>7328</v>
      </c>
      <c r="H221" s="204" t="s">
        <v>77</v>
      </c>
      <c r="I221" s="204" t="s">
        <v>7329</v>
      </c>
    </row>
    <row r="222" spans="1:9" x14ac:dyDescent="0.25">
      <c r="A222" s="204" t="s">
        <v>289</v>
      </c>
      <c r="B222" s="9" t="str">
        <f t="shared" si="6"/>
        <v>10700000</v>
      </c>
      <c r="C222" s="9" t="str">
        <f>VLOOKUP(B222,COA!A:B,2,FALSE)</f>
        <v>CWIP</v>
      </c>
      <c r="D222" s="338" t="str">
        <f t="shared" si="7"/>
        <v>C105</v>
      </c>
      <c r="E222" s="338" t="s">
        <v>6885</v>
      </c>
      <c r="F222" s="338" t="s">
        <v>2419</v>
      </c>
      <c r="G222" s="338">
        <v>0</v>
      </c>
      <c r="H222" s="204" t="s">
        <v>77</v>
      </c>
      <c r="I222" s="204" t="s">
        <v>7351</v>
      </c>
    </row>
    <row r="223" spans="1:9" x14ac:dyDescent="0.25">
      <c r="A223" s="204" t="s">
        <v>290</v>
      </c>
      <c r="B223" s="9" t="str">
        <f t="shared" si="6"/>
        <v>10780000</v>
      </c>
      <c r="C223" s="9" t="str">
        <f>VLOOKUP(B223,COA!A:B,2,FALSE)</f>
        <v>CWIP - Workbasket Accrual</v>
      </c>
      <c r="D223" s="338" t="str">
        <f t="shared" si="7"/>
        <v>C105</v>
      </c>
      <c r="E223" s="338" t="s">
        <v>6885</v>
      </c>
      <c r="F223" s="338" t="s">
        <v>2419</v>
      </c>
      <c r="G223" s="338">
        <v>0</v>
      </c>
      <c r="H223" s="204" t="s">
        <v>77</v>
      </c>
      <c r="I223" s="204" t="s">
        <v>7351</v>
      </c>
    </row>
    <row r="224" spans="1:9" x14ac:dyDescent="0.25">
      <c r="A224" s="204" t="s">
        <v>291</v>
      </c>
      <c r="B224" s="9" t="str">
        <f t="shared" si="6"/>
        <v>10780100</v>
      </c>
      <c r="C224" s="9" t="str">
        <f>VLOOKUP(B224,COA!A:B,2,FALSE)</f>
        <v>CWIP - Backhoe Clearing</v>
      </c>
      <c r="D224" s="338" t="str">
        <f t="shared" si="7"/>
        <v>C105</v>
      </c>
      <c r="E224" s="338" t="s">
        <v>6885</v>
      </c>
      <c r="F224" s="338" t="s">
        <v>2419</v>
      </c>
      <c r="G224" s="338">
        <v>0</v>
      </c>
      <c r="H224" s="204" t="s">
        <v>77</v>
      </c>
      <c r="I224" s="204" t="s">
        <v>7351</v>
      </c>
    </row>
    <row r="225" spans="1:9" x14ac:dyDescent="0.25">
      <c r="A225" s="204" t="s">
        <v>292</v>
      </c>
      <c r="B225" s="9" t="str">
        <f t="shared" si="6"/>
        <v>10780110</v>
      </c>
      <c r="C225" s="9" t="str">
        <f>VLOOKUP(B225,COA!A:B,2,FALSE)</f>
        <v>CWIP - Eng Clearing Dist Overhead</v>
      </c>
      <c r="D225" s="338" t="str">
        <f t="shared" si="7"/>
        <v>C105</v>
      </c>
      <c r="E225" s="338" t="s">
        <v>6885</v>
      </c>
      <c r="F225" s="338" t="s">
        <v>2419</v>
      </c>
      <c r="G225" s="338">
        <v>0</v>
      </c>
      <c r="H225" s="204" t="s">
        <v>77</v>
      </c>
      <c r="I225" s="204" t="s">
        <v>7351</v>
      </c>
    </row>
    <row r="226" spans="1:9" x14ac:dyDescent="0.25">
      <c r="A226" s="204" t="s">
        <v>293</v>
      </c>
      <c r="B226" s="9" t="str">
        <f t="shared" si="6"/>
        <v>10780120</v>
      </c>
      <c r="C226" s="9" t="str">
        <f>VLOOKUP(B226,COA!A:B,2,FALSE)</f>
        <v>CWIP - Eng Clearing Eng Overhead</v>
      </c>
      <c r="D226" s="338" t="str">
        <f t="shared" si="7"/>
        <v>C105</v>
      </c>
      <c r="E226" s="338" t="s">
        <v>6885</v>
      </c>
      <c r="F226" s="338" t="s">
        <v>2419</v>
      </c>
      <c r="G226" s="338">
        <v>0</v>
      </c>
      <c r="H226" s="204" t="s">
        <v>77</v>
      </c>
      <c r="I226" s="204" t="s">
        <v>7351</v>
      </c>
    </row>
    <row r="227" spans="1:9" x14ac:dyDescent="0.25">
      <c r="A227" s="204" t="s">
        <v>294</v>
      </c>
      <c r="B227" s="9" t="str">
        <f t="shared" si="6"/>
        <v>10780130</v>
      </c>
      <c r="C227" s="9" t="str">
        <f>VLOOKUP(B227,COA!A:B,2,FALSE)</f>
        <v>CWIP - Management Study - AMR</v>
      </c>
      <c r="D227" s="338" t="str">
        <f t="shared" si="7"/>
        <v>C105</v>
      </c>
      <c r="E227" s="338" t="s">
        <v>6885</v>
      </c>
      <c r="F227" s="338" t="s">
        <v>2419</v>
      </c>
      <c r="G227" s="338">
        <v>0</v>
      </c>
      <c r="H227" s="204" t="s">
        <v>77</v>
      </c>
      <c r="I227" s="204" t="s">
        <v>7351</v>
      </c>
    </row>
    <row r="228" spans="1:9" x14ac:dyDescent="0.25">
      <c r="A228" s="204" t="s">
        <v>295</v>
      </c>
      <c r="B228" s="9" t="str">
        <f t="shared" si="6"/>
        <v>10780140</v>
      </c>
      <c r="C228" s="9" t="str">
        <f>VLOOKUP(B228,COA!A:B,2,FALSE)</f>
        <v>CWIP - Management Study - Pipe</v>
      </c>
      <c r="D228" s="338" t="str">
        <f t="shared" si="7"/>
        <v>C105</v>
      </c>
      <c r="E228" s="338" t="s">
        <v>6885</v>
      </c>
      <c r="F228" s="338" t="s">
        <v>2419</v>
      </c>
      <c r="G228" s="338">
        <v>0</v>
      </c>
      <c r="H228" s="204" t="s">
        <v>77</v>
      </c>
      <c r="I228" s="204" t="s">
        <v>7351</v>
      </c>
    </row>
    <row r="229" spans="1:9" x14ac:dyDescent="0.25">
      <c r="A229" s="204" t="s">
        <v>296</v>
      </c>
      <c r="B229" s="9" t="str">
        <f t="shared" si="6"/>
        <v>10780150</v>
      </c>
      <c r="C229" s="9" t="str">
        <f>VLOOKUP(B229,COA!A:B,2,FALSE)</f>
        <v>CWIP - Interdistrict Clearing</v>
      </c>
      <c r="D229" s="338" t="str">
        <f t="shared" si="7"/>
        <v>C105</v>
      </c>
      <c r="E229" s="338" t="s">
        <v>6885</v>
      </c>
      <c r="F229" s="338" t="s">
        <v>2419</v>
      </c>
      <c r="G229" s="338">
        <v>0</v>
      </c>
      <c r="H229" s="204" t="s">
        <v>77</v>
      </c>
      <c r="I229" s="204" t="s">
        <v>7351</v>
      </c>
    </row>
    <row r="230" spans="1:9" x14ac:dyDescent="0.25">
      <c r="A230" s="204" t="s">
        <v>297</v>
      </c>
      <c r="B230" s="9" t="str">
        <f t="shared" si="6"/>
        <v>10790000</v>
      </c>
      <c r="C230" s="9" t="str">
        <f>VLOOKUP(B230,COA!A:B,2,FALSE)</f>
        <v>CWIP - Capital Settlement Clearing</v>
      </c>
      <c r="D230" s="338" t="str">
        <f t="shared" si="7"/>
        <v>C105</v>
      </c>
      <c r="E230" s="338" t="s">
        <v>6885</v>
      </c>
      <c r="F230" s="338" t="s">
        <v>2419</v>
      </c>
      <c r="G230" s="338">
        <v>0</v>
      </c>
      <c r="H230" s="204" t="s">
        <v>77</v>
      </c>
      <c r="I230" s="204" t="s">
        <v>7351</v>
      </c>
    </row>
    <row r="231" spans="1:9" x14ac:dyDescent="0.25">
      <c r="A231" s="204" t="s">
        <v>298</v>
      </c>
      <c r="B231" s="9" t="str">
        <f t="shared" si="6"/>
        <v>10801000</v>
      </c>
      <c r="C231" s="9" t="str">
        <f>VLOOKUP(B231,COA!A:B,2,FALSE)</f>
        <v>Accum Depreciation - Utility Plant in Service</v>
      </c>
      <c r="D231" s="338" t="str">
        <f t="shared" si="7"/>
        <v>C1081</v>
      </c>
      <c r="E231" s="338" t="s">
        <v>6885</v>
      </c>
      <c r="F231" s="338" t="s">
        <v>0</v>
      </c>
      <c r="G231" s="338">
        <v>0</v>
      </c>
      <c r="H231" s="204" t="s">
        <v>77</v>
      </c>
      <c r="I231" s="204" t="s">
        <v>7352</v>
      </c>
    </row>
    <row r="232" spans="1:9" x14ac:dyDescent="0.25">
      <c r="A232" s="204" t="s">
        <v>299</v>
      </c>
      <c r="B232" s="9" t="str">
        <f t="shared" si="6"/>
        <v>10802000</v>
      </c>
      <c r="C232" s="9" t="str">
        <f>VLOOKUP(B232,COA!A:B,2,FALSE)</f>
        <v>Accum Depreciation - Salvage/Scrap</v>
      </c>
      <c r="D232" s="338" t="str">
        <f t="shared" si="7"/>
        <v>C1081</v>
      </c>
      <c r="E232" s="338" t="s">
        <v>6885</v>
      </c>
      <c r="F232" s="338" t="s">
        <v>0</v>
      </c>
      <c r="G232" s="338">
        <v>0</v>
      </c>
      <c r="H232" s="204" t="s">
        <v>77</v>
      </c>
      <c r="I232" s="204" t="s">
        <v>7352</v>
      </c>
    </row>
    <row r="233" spans="1:9" x14ac:dyDescent="0.25">
      <c r="A233" s="204" t="s">
        <v>300</v>
      </c>
      <c r="B233" s="9" t="str">
        <f t="shared" si="6"/>
        <v>10803000</v>
      </c>
      <c r="C233" s="9" t="str">
        <f>VLOOKUP(B233,COA!A:B,2,FALSE)</f>
        <v>Accum Depreciation - Asset Sale</v>
      </c>
      <c r="D233" s="338" t="str">
        <f t="shared" si="7"/>
        <v>C1081</v>
      </c>
      <c r="E233" s="338" t="s">
        <v>6885</v>
      </c>
      <c r="F233" s="338" t="s">
        <v>0</v>
      </c>
      <c r="G233" s="338">
        <v>0</v>
      </c>
      <c r="H233" s="204" t="s">
        <v>77</v>
      </c>
      <c r="I233" s="204" t="s">
        <v>7352</v>
      </c>
    </row>
    <row r="234" spans="1:9" x14ac:dyDescent="0.25">
      <c r="A234" s="204" t="s">
        <v>301</v>
      </c>
      <c r="B234" s="9" t="str">
        <f t="shared" si="6"/>
        <v>10804000</v>
      </c>
      <c r="C234" s="9" t="str">
        <f>VLOOKUP(B234,COA!A:B,2,FALSE)</f>
        <v>Accum Depreciation - Original Cost</v>
      </c>
      <c r="D234" s="338" t="str">
        <f t="shared" si="7"/>
        <v>C1081</v>
      </c>
      <c r="E234" s="338" t="s">
        <v>6885</v>
      </c>
      <c r="F234" s="338" t="s">
        <v>0</v>
      </c>
      <c r="G234" s="338">
        <v>0</v>
      </c>
      <c r="H234" s="204" t="s">
        <v>77</v>
      </c>
      <c r="I234" s="204" t="s">
        <v>7352</v>
      </c>
    </row>
    <row r="235" spans="1:9" x14ac:dyDescent="0.25">
      <c r="A235" s="204" t="s">
        <v>302</v>
      </c>
      <c r="B235" s="9" t="str">
        <f t="shared" si="6"/>
        <v>10810000</v>
      </c>
      <c r="C235" s="9" t="str">
        <f>VLOOKUP(B235,COA!A:B,2,FALSE)</f>
        <v>Accum Depreciation - Reg Asset</v>
      </c>
      <c r="D235" s="338" t="str">
        <f t="shared" si="7"/>
        <v>C1081</v>
      </c>
      <c r="E235" s="338" t="s">
        <v>6885</v>
      </c>
      <c r="F235" s="338" t="s">
        <v>0</v>
      </c>
      <c r="G235" s="338">
        <v>0</v>
      </c>
      <c r="H235" s="204" t="s">
        <v>77</v>
      </c>
      <c r="I235" s="204" t="s">
        <v>7352</v>
      </c>
    </row>
    <row r="236" spans="1:9" x14ac:dyDescent="0.25">
      <c r="A236" s="204" t="s">
        <v>303</v>
      </c>
      <c r="B236" s="9" t="str">
        <f t="shared" si="6"/>
        <v>10820000</v>
      </c>
      <c r="C236" s="9" t="str">
        <f>VLOOKUP(B236,COA!A:B,2,FALSE)</f>
        <v>Accum Depreciation - Utility Plant Leased to Othrs</v>
      </c>
      <c r="D236" s="338" t="str">
        <f t="shared" si="7"/>
        <v>C1082</v>
      </c>
      <c r="E236" s="338" t="s">
        <v>6885</v>
      </c>
      <c r="F236" s="338" t="s">
        <v>0</v>
      </c>
      <c r="G236" s="338">
        <v>0</v>
      </c>
      <c r="H236" s="204" t="s">
        <v>77</v>
      </c>
      <c r="I236" s="204" t="s">
        <v>7353</v>
      </c>
    </row>
    <row r="237" spans="1:9" x14ac:dyDescent="0.25">
      <c r="A237" s="204" t="s">
        <v>304</v>
      </c>
      <c r="B237" s="9" t="str">
        <f t="shared" si="6"/>
        <v>10830000</v>
      </c>
      <c r="C237" s="9" t="str">
        <f>VLOOKUP(B237,COA!A:B,2,FALSE)</f>
        <v>Accum Depreciation - Property Held for Future Use</v>
      </c>
      <c r="D237" s="338" t="str">
        <f t="shared" si="7"/>
        <v>C1083</v>
      </c>
      <c r="E237" s="338" t="s">
        <v>6885</v>
      </c>
      <c r="F237" s="338" t="s">
        <v>0</v>
      </c>
      <c r="G237" s="338">
        <v>0</v>
      </c>
      <c r="H237" s="204" t="s">
        <v>77</v>
      </c>
      <c r="I237" s="204" t="s">
        <v>7354</v>
      </c>
    </row>
    <row r="238" spans="1:9" x14ac:dyDescent="0.25">
      <c r="A238" s="204" t="s">
        <v>305</v>
      </c>
      <c r="B238" s="9" t="str">
        <f t="shared" si="6"/>
        <v>10840000</v>
      </c>
      <c r="C238" s="9" t="str">
        <f>VLOOKUP(B238,COA!A:B,2,FALSE)</f>
        <v>Accum Amortization - Utility Plant in Service</v>
      </c>
      <c r="D238" s="338" t="str">
        <f t="shared" si="7"/>
        <v>C1101</v>
      </c>
      <c r="E238" s="338" t="s">
        <v>6885</v>
      </c>
      <c r="F238" s="338" t="s">
        <v>0</v>
      </c>
      <c r="G238" s="338">
        <v>0</v>
      </c>
      <c r="H238" s="204" t="s">
        <v>77</v>
      </c>
      <c r="I238" s="204" t="s">
        <v>7355</v>
      </c>
    </row>
    <row r="239" spans="1:9" x14ac:dyDescent="0.25">
      <c r="A239" s="204" t="s">
        <v>306</v>
      </c>
      <c r="B239" s="9" t="str">
        <f t="shared" si="6"/>
        <v>10850000</v>
      </c>
      <c r="C239" s="9" t="str">
        <f>VLOOKUP(B239,COA!A:B,2,FALSE)</f>
        <v>Accum Amortization - Utility Plant Capital Lease</v>
      </c>
      <c r="D239" s="338" t="str">
        <f t="shared" si="7"/>
        <v>C1101</v>
      </c>
      <c r="E239" s="338" t="s">
        <v>6885</v>
      </c>
      <c r="F239" s="338" t="s">
        <v>0</v>
      </c>
      <c r="G239" s="338">
        <v>0</v>
      </c>
      <c r="H239" s="204" t="s">
        <v>77</v>
      </c>
      <c r="I239" s="204" t="s">
        <v>7355</v>
      </c>
    </row>
    <row r="240" spans="1:9" x14ac:dyDescent="0.25">
      <c r="A240" s="204" t="s">
        <v>307</v>
      </c>
      <c r="B240" s="9" t="str">
        <f t="shared" si="6"/>
        <v>11410000</v>
      </c>
      <c r="C240" s="9" t="str">
        <f>VLOOKUP(B240,COA!A:B,2,FALSE)</f>
        <v>UPAA - Above The Line</v>
      </c>
      <c r="D240" s="338" t="str">
        <f t="shared" si="7"/>
        <v>C114</v>
      </c>
      <c r="E240" s="338" t="s">
        <v>6885</v>
      </c>
      <c r="F240" s="338" t="s">
        <v>6905</v>
      </c>
      <c r="G240" s="338">
        <v>0</v>
      </c>
      <c r="H240" s="204" t="s">
        <v>77</v>
      </c>
      <c r="I240" s="204" t="s">
        <v>7356</v>
      </c>
    </row>
    <row r="241" spans="1:9" x14ac:dyDescent="0.25">
      <c r="A241" s="204" t="s">
        <v>308</v>
      </c>
      <c r="B241" s="9" t="str">
        <f t="shared" si="6"/>
        <v>11415000</v>
      </c>
      <c r="C241" s="9" t="str">
        <f>VLOOKUP(B241,COA!A:B,2,FALSE)</f>
        <v>UPAA - Above The Line - Accum Amortization</v>
      </c>
      <c r="D241" s="338" t="str">
        <f t="shared" si="7"/>
        <v>C115</v>
      </c>
      <c r="E241" s="338" t="s">
        <v>6885</v>
      </c>
      <c r="F241" s="338" t="s">
        <v>6905</v>
      </c>
      <c r="G241" s="338">
        <v>0</v>
      </c>
      <c r="H241" s="204" t="s">
        <v>77</v>
      </c>
      <c r="I241" s="204" t="s">
        <v>7357</v>
      </c>
    </row>
    <row r="242" spans="1:9" x14ac:dyDescent="0.25">
      <c r="A242" s="204" t="s">
        <v>309</v>
      </c>
      <c r="B242" s="9" t="str">
        <f t="shared" si="6"/>
        <v>11420000</v>
      </c>
      <c r="C242" s="9" t="str">
        <f>VLOOKUP(B242,COA!A:B,2,FALSE)</f>
        <v>UPAA - Above The Line Depreciation</v>
      </c>
      <c r="D242" s="338" t="str">
        <f t="shared" si="7"/>
        <v>C114</v>
      </c>
      <c r="E242" s="338" t="s">
        <v>6885</v>
      </c>
      <c r="F242" s="338" t="s">
        <v>6905</v>
      </c>
      <c r="G242" s="338">
        <v>0</v>
      </c>
      <c r="H242" s="204" t="s">
        <v>77</v>
      </c>
      <c r="I242" s="204" t="s">
        <v>7356</v>
      </c>
    </row>
    <row r="243" spans="1:9" x14ac:dyDescent="0.25">
      <c r="A243" s="204" t="s">
        <v>310</v>
      </c>
      <c r="B243" s="9" t="str">
        <f t="shared" si="6"/>
        <v>11425000</v>
      </c>
      <c r="C243" s="9" t="str">
        <f>VLOOKUP(B243,COA!A:B,2,FALSE)</f>
        <v>UPAA - Above The Line Depr - Accum Depreciation</v>
      </c>
      <c r="D243" s="338" t="str">
        <f t="shared" si="7"/>
        <v>C115</v>
      </c>
      <c r="E243" s="338" t="s">
        <v>6885</v>
      </c>
      <c r="F243" s="338" t="s">
        <v>6905</v>
      </c>
      <c r="G243" s="338">
        <v>0</v>
      </c>
      <c r="H243" s="204" t="s">
        <v>77</v>
      </c>
      <c r="I243" s="204" t="s">
        <v>7357</v>
      </c>
    </row>
    <row r="244" spans="1:9" x14ac:dyDescent="0.25">
      <c r="A244" s="204" t="s">
        <v>311</v>
      </c>
      <c r="B244" s="9" t="str">
        <f t="shared" si="6"/>
        <v>11430000</v>
      </c>
      <c r="C244" s="9" t="str">
        <f>VLOOKUP(B244,COA!A:B,2,FALSE)</f>
        <v>UPAA - Neg Post 1/1/06</v>
      </c>
      <c r="D244" s="338" t="str">
        <f t="shared" si="7"/>
        <v>C114</v>
      </c>
      <c r="E244" s="338" t="s">
        <v>6885</v>
      </c>
      <c r="F244" s="338" t="s">
        <v>6905</v>
      </c>
      <c r="G244" s="338">
        <v>0</v>
      </c>
      <c r="H244" s="204" t="s">
        <v>77</v>
      </c>
      <c r="I244" s="204" t="s">
        <v>7356</v>
      </c>
    </row>
    <row r="245" spans="1:9" x14ac:dyDescent="0.25">
      <c r="A245" s="204" t="s">
        <v>312</v>
      </c>
      <c r="B245" s="9" t="str">
        <f t="shared" si="6"/>
        <v>11435000</v>
      </c>
      <c r="C245" s="9" t="str">
        <f>VLOOKUP(B245,COA!A:B,2,FALSE)</f>
        <v>UPAA - Neg Post 1/1/06 - Accum Amortization</v>
      </c>
      <c r="D245" s="338" t="str">
        <f t="shared" si="7"/>
        <v>C115</v>
      </c>
      <c r="E245" s="338" t="s">
        <v>6885</v>
      </c>
      <c r="F245" s="338" t="s">
        <v>6905</v>
      </c>
      <c r="G245" s="338">
        <v>0</v>
      </c>
      <c r="H245" s="204" t="s">
        <v>77</v>
      </c>
      <c r="I245" s="204" t="s">
        <v>7357</v>
      </c>
    </row>
    <row r="246" spans="1:9" x14ac:dyDescent="0.25">
      <c r="A246" s="204" t="s">
        <v>313</v>
      </c>
      <c r="B246" s="9" t="str">
        <f t="shared" si="6"/>
        <v>12110000</v>
      </c>
      <c r="C246" s="9" t="str">
        <f>VLOOKUP(B246,COA!A:B,2,FALSE)</f>
        <v>Non-Utility Property - Land</v>
      </c>
      <c r="D246" s="338" t="str">
        <f t="shared" si="7"/>
        <v>C121</v>
      </c>
      <c r="E246" s="338" t="s">
        <v>6885</v>
      </c>
      <c r="F246" s="338" t="s">
        <v>6906</v>
      </c>
      <c r="G246" s="338">
        <v>0</v>
      </c>
      <c r="H246" s="204" t="s">
        <v>77</v>
      </c>
      <c r="I246" s="204" t="s">
        <v>7358</v>
      </c>
    </row>
    <row r="247" spans="1:9" x14ac:dyDescent="0.25">
      <c r="A247" s="204" t="s">
        <v>314</v>
      </c>
      <c r="B247" s="9" t="str">
        <f t="shared" si="6"/>
        <v>12120000</v>
      </c>
      <c r="C247" s="9" t="str">
        <f>VLOOKUP(B247,COA!A:B,2,FALSE)</f>
        <v>Non-Utility Property - Buildings</v>
      </c>
      <c r="D247" s="338" t="str">
        <f t="shared" si="7"/>
        <v>C121</v>
      </c>
      <c r="E247" s="338" t="s">
        <v>6885</v>
      </c>
      <c r="F247" s="338" t="s">
        <v>6906</v>
      </c>
      <c r="G247" s="338">
        <v>0</v>
      </c>
      <c r="H247" s="204" t="s">
        <v>77</v>
      </c>
      <c r="I247" s="204" t="s">
        <v>7358</v>
      </c>
    </row>
    <row r="248" spans="1:9" x14ac:dyDescent="0.25">
      <c r="A248" s="204" t="s">
        <v>315</v>
      </c>
      <c r="B248" s="9" t="str">
        <f t="shared" si="6"/>
        <v>12130003</v>
      </c>
      <c r="C248" s="9" t="str">
        <f>VLOOKUP(B248,COA!A:B,2,FALSE)</f>
        <v>Non-Utility Property - Capital Lease 3yr</v>
      </c>
      <c r="D248" s="338" t="str">
        <f t="shared" si="7"/>
        <v>C121</v>
      </c>
      <c r="E248" s="338" t="s">
        <v>6885</v>
      </c>
      <c r="F248" s="338" t="s">
        <v>6906</v>
      </c>
      <c r="G248" s="338">
        <v>0</v>
      </c>
      <c r="H248" s="204" t="s">
        <v>77</v>
      </c>
      <c r="I248" s="204" t="s">
        <v>7358</v>
      </c>
    </row>
    <row r="249" spans="1:9" x14ac:dyDescent="0.25">
      <c r="A249" s="204" t="s">
        <v>316</v>
      </c>
      <c r="B249" s="9" t="str">
        <f t="shared" si="6"/>
        <v>12130004</v>
      </c>
      <c r="C249" s="9" t="str">
        <f>VLOOKUP(B249,COA!A:B,2,FALSE)</f>
        <v>Non-Utility Property - Capital Lease 4yr</v>
      </c>
      <c r="D249" s="338" t="str">
        <f t="shared" si="7"/>
        <v>C121</v>
      </c>
      <c r="E249" s="338" t="s">
        <v>6885</v>
      </c>
      <c r="F249" s="338" t="s">
        <v>6906</v>
      </c>
      <c r="G249" s="338">
        <v>0</v>
      </c>
      <c r="H249" s="204" t="s">
        <v>77</v>
      </c>
      <c r="I249" s="204" t="s">
        <v>7358</v>
      </c>
    </row>
    <row r="250" spans="1:9" x14ac:dyDescent="0.25">
      <c r="A250" s="204" t="s">
        <v>317</v>
      </c>
      <c r="B250" s="9" t="str">
        <f t="shared" si="6"/>
        <v>12130005</v>
      </c>
      <c r="C250" s="9" t="str">
        <f>VLOOKUP(B250,COA!A:B,2,FALSE)</f>
        <v>Non-Utility Property - Capital Lease 5yr</v>
      </c>
      <c r="D250" s="338" t="str">
        <f t="shared" si="7"/>
        <v>C121</v>
      </c>
      <c r="E250" s="338" t="s">
        <v>6885</v>
      </c>
      <c r="F250" s="338" t="s">
        <v>6906</v>
      </c>
      <c r="G250" s="338">
        <v>0</v>
      </c>
      <c r="H250" s="204" t="s">
        <v>77</v>
      </c>
      <c r="I250" s="204" t="s">
        <v>7358</v>
      </c>
    </row>
    <row r="251" spans="1:9" x14ac:dyDescent="0.25">
      <c r="A251" s="204" t="s">
        <v>318</v>
      </c>
      <c r="B251" s="9" t="str">
        <f t="shared" si="6"/>
        <v>12130007</v>
      </c>
      <c r="C251" s="9" t="str">
        <f>VLOOKUP(B251,COA!A:B,2,FALSE)</f>
        <v>Non-Utility Property - Capital Lease 7yr</v>
      </c>
      <c r="D251" s="338" t="str">
        <f t="shared" si="7"/>
        <v>C121</v>
      </c>
      <c r="E251" s="338" t="s">
        <v>6885</v>
      </c>
      <c r="F251" s="338" t="s">
        <v>6906</v>
      </c>
      <c r="G251" s="338">
        <v>0</v>
      </c>
      <c r="H251" s="204" t="s">
        <v>77</v>
      </c>
      <c r="I251" s="204" t="s">
        <v>7358</v>
      </c>
    </row>
    <row r="252" spans="1:9" x14ac:dyDescent="0.25">
      <c r="A252" s="204" t="s">
        <v>319</v>
      </c>
      <c r="B252" s="9" t="str">
        <f t="shared" si="6"/>
        <v>12130010</v>
      </c>
      <c r="C252" s="9" t="str">
        <f>VLOOKUP(B252,COA!A:B,2,FALSE)</f>
        <v>Non-Utility Property - Capital Lease 10yr</v>
      </c>
      <c r="D252" s="338" t="str">
        <f t="shared" si="7"/>
        <v>C121</v>
      </c>
      <c r="E252" s="338" t="s">
        <v>6885</v>
      </c>
      <c r="F252" s="338" t="s">
        <v>6906</v>
      </c>
      <c r="G252" s="338">
        <v>0</v>
      </c>
      <c r="H252" s="204" t="s">
        <v>77</v>
      </c>
      <c r="I252" s="204" t="s">
        <v>7358</v>
      </c>
    </row>
    <row r="253" spans="1:9" x14ac:dyDescent="0.25">
      <c r="A253" s="204" t="s">
        <v>320</v>
      </c>
      <c r="B253" s="9" t="str">
        <f t="shared" si="6"/>
        <v>12130015</v>
      </c>
      <c r="C253" s="9" t="str">
        <f>VLOOKUP(B253,COA!A:B,2,FALSE)</f>
        <v>Non-Utility Property - Capital Lease 15yr</v>
      </c>
      <c r="D253" s="338" t="str">
        <f t="shared" si="7"/>
        <v>C121</v>
      </c>
      <c r="E253" s="338" t="s">
        <v>6885</v>
      </c>
      <c r="F253" s="338" t="s">
        <v>6906</v>
      </c>
      <c r="G253" s="338">
        <v>0</v>
      </c>
      <c r="H253" s="204" t="s">
        <v>77</v>
      </c>
      <c r="I253" s="204" t="s">
        <v>7358</v>
      </c>
    </row>
    <row r="254" spans="1:9" x14ac:dyDescent="0.25">
      <c r="A254" s="204" t="s">
        <v>321</v>
      </c>
      <c r="B254" s="9" t="str">
        <f t="shared" si="6"/>
        <v>12140000</v>
      </c>
      <c r="C254" s="9" t="str">
        <f>VLOOKUP(B254,COA!A:B,2,FALSE)</f>
        <v>Non-Utility Property - Leasehold Improvement</v>
      </c>
      <c r="D254" s="338" t="str">
        <f t="shared" si="7"/>
        <v>C121</v>
      </c>
      <c r="E254" s="338" t="s">
        <v>6885</v>
      </c>
      <c r="F254" s="338" t="s">
        <v>6906</v>
      </c>
      <c r="G254" s="338">
        <v>0</v>
      </c>
      <c r="H254" s="204" t="s">
        <v>77</v>
      </c>
      <c r="I254" s="204" t="s">
        <v>7358</v>
      </c>
    </row>
    <row r="255" spans="1:9" x14ac:dyDescent="0.25">
      <c r="A255" s="204" t="s">
        <v>322</v>
      </c>
      <c r="B255" s="9" t="str">
        <f t="shared" si="6"/>
        <v>12150000</v>
      </c>
      <c r="C255" s="9" t="str">
        <f>VLOOKUP(B255,COA!A:B,2,FALSE)</f>
        <v>Non-Utility Property - Other 10 Yr</v>
      </c>
      <c r="D255" s="338" t="str">
        <f t="shared" si="7"/>
        <v>C121</v>
      </c>
      <c r="E255" s="338" t="s">
        <v>6885</v>
      </c>
      <c r="F255" s="338" t="s">
        <v>6906</v>
      </c>
      <c r="G255" s="338">
        <v>0</v>
      </c>
      <c r="H255" s="204" t="s">
        <v>77</v>
      </c>
      <c r="I255" s="204" t="s">
        <v>7358</v>
      </c>
    </row>
    <row r="256" spans="1:9" x14ac:dyDescent="0.25">
      <c r="A256" s="204" t="s">
        <v>323</v>
      </c>
      <c r="B256" s="9" t="str">
        <f t="shared" si="6"/>
        <v>12150010</v>
      </c>
      <c r="C256" s="9" t="str">
        <f>VLOOKUP(B256,COA!A:B,2,FALSE)</f>
        <v>Non-Utility Property - Other 5yr</v>
      </c>
      <c r="D256" s="338" t="str">
        <f t="shared" si="7"/>
        <v>C121</v>
      </c>
      <c r="E256" s="338" t="s">
        <v>6885</v>
      </c>
      <c r="F256" s="338" t="s">
        <v>6906</v>
      </c>
      <c r="G256" s="338">
        <v>0</v>
      </c>
      <c r="H256" s="204" t="s">
        <v>77</v>
      </c>
      <c r="I256" s="204" t="s">
        <v>7358</v>
      </c>
    </row>
    <row r="257" spans="1:9" x14ac:dyDescent="0.25">
      <c r="A257" s="204" t="s">
        <v>324</v>
      </c>
      <c r="B257" s="9" t="str">
        <f t="shared" si="6"/>
        <v>12150020</v>
      </c>
      <c r="C257" s="9" t="str">
        <f>VLOOKUP(B257,COA!A:B,2,FALSE)</f>
        <v>Non-Utility Property - Other 7yr</v>
      </c>
      <c r="D257" s="338" t="str">
        <f t="shared" si="7"/>
        <v>C121</v>
      </c>
      <c r="E257" s="338" t="s">
        <v>6885</v>
      </c>
      <c r="F257" s="338" t="s">
        <v>6906</v>
      </c>
      <c r="G257" s="338">
        <v>0</v>
      </c>
      <c r="H257" s="204" t="s">
        <v>77</v>
      </c>
      <c r="I257" s="204" t="s">
        <v>7358</v>
      </c>
    </row>
    <row r="258" spans="1:9" x14ac:dyDescent="0.25">
      <c r="A258" s="204" t="s">
        <v>325</v>
      </c>
      <c r="B258" s="9" t="str">
        <f t="shared" si="6"/>
        <v>12150030</v>
      </c>
      <c r="C258" s="9" t="str">
        <f>VLOOKUP(B258,COA!A:B,2,FALSE)</f>
        <v>Non-Utility Property - Other 4 Yr</v>
      </c>
      <c r="D258" s="338" t="str">
        <f t="shared" si="7"/>
        <v>C121</v>
      </c>
      <c r="E258" s="338" t="s">
        <v>6885</v>
      </c>
      <c r="F258" s="338" t="s">
        <v>6906</v>
      </c>
      <c r="G258" s="338">
        <v>0</v>
      </c>
      <c r="H258" s="204" t="s">
        <v>77</v>
      </c>
      <c r="I258" s="204" t="s">
        <v>7358</v>
      </c>
    </row>
    <row r="259" spans="1:9" x14ac:dyDescent="0.25">
      <c r="A259" s="204" t="s">
        <v>326</v>
      </c>
      <c r="B259" s="9" t="str">
        <f t="shared" si="6"/>
        <v>12150040</v>
      </c>
      <c r="C259" s="9" t="str">
        <f>VLOOKUP(B259,COA!A:B,2,FALSE)</f>
        <v>Non-Utility Property - Other Hardware</v>
      </c>
      <c r="D259" s="338" t="str">
        <f t="shared" si="7"/>
        <v>C121</v>
      </c>
      <c r="E259" s="338" t="s">
        <v>6885</v>
      </c>
      <c r="F259" s="338" t="s">
        <v>6906</v>
      </c>
      <c r="G259" s="338">
        <v>0</v>
      </c>
      <c r="H259" s="204" t="s">
        <v>77</v>
      </c>
      <c r="I259" s="204" t="s">
        <v>7358</v>
      </c>
    </row>
    <row r="260" spans="1:9" x14ac:dyDescent="0.25">
      <c r="A260" s="204" t="s">
        <v>327</v>
      </c>
      <c r="B260" s="9" t="str">
        <f t="shared" si="6"/>
        <v>12150050</v>
      </c>
      <c r="C260" s="9" t="str">
        <f>VLOOKUP(B260,COA!A:B,2,FALSE)</f>
        <v>Non-Utility Property - Other Software</v>
      </c>
      <c r="D260" s="338" t="str">
        <f t="shared" si="7"/>
        <v>C121</v>
      </c>
      <c r="E260" s="338" t="s">
        <v>6885</v>
      </c>
      <c r="F260" s="338" t="s">
        <v>6906</v>
      </c>
      <c r="G260" s="338">
        <v>0</v>
      </c>
      <c r="H260" s="204" t="s">
        <v>77</v>
      </c>
      <c r="I260" s="204" t="s">
        <v>7358</v>
      </c>
    </row>
    <row r="261" spans="1:9" x14ac:dyDescent="0.25">
      <c r="A261" s="204" t="s">
        <v>328</v>
      </c>
      <c r="B261" s="9" t="str">
        <f t="shared" si="6"/>
        <v>12150080</v>
      </c>
      <c r="C261" s="9" t="str">
        <f>VLOOKUP(B261,COA!A:B,2,FALSE)</f>
        <v>Non-Utility Property - Other Enterprise</v>
      </c>
      <c r="D261" s="338" t="str">
        <f t="shared" si="7"/>
        <v>C121</v>
      </c>
      <c r="E261" s="338" t="s">
        <v>6885</v>
      </c>
      <c r="F261" s="338" t="s">
        <v>6906</v>
      </c>
      <c r="G261" s="338">
        <v>0</v>
      </c>
      <c r="H261" s="204" t="s">
        <v>77</v>
      </c>
      <c r="I261" s="204" t="s">
        <v>7358</v>
      </c>
    </row>
    <row r="262" spans="1:9" x14ac:dyDescent="0.25">
      <c r="A262" s="204" t="s">
        <v>329</v>
      </c>
      <c r="B262" s="9" t="str">
        <f t="shared" si="6"/>
        <v>12180000</v>
      </c>
      <c r="C262" s="9" t="str">
        <f>VLOOKUP(B262,COA!A:B,2,FALSE)</f>
        <v>Non-Utility Property - CWIP</v>
      </c>
      <c r="D262" s="338" t="str">
        <f t="shared" si="7"/>
        <v>C121</v>
      </c>
      <c r="E262" s="338" t="s">
        <v>6885</v>
      </c>
      <c r="F262" s="338" t="s">
        <v>6906</v>
      </c>
      <c r="G262" s="338">
        <v>0</v>
      </c>
      <c r="H262" s="204" t="s">
        <v>77</v>
      </c>
      <c r="I262" s="204" t="s">
        <v>7358</v>
      </c>
    </row>
    <row r="263" spans="1:9" x14ac:dyDescent="0.25">
      <c r="A263" s="204" t="s">
        <v>330</v>
      </c>
      <c r="B263" s="9" t="str">
        <f t="shared" si="6"/>
        <v>12200000</v>
      </c>
      <c r="C263" s="9" t="str">
        <f>VLOOKUP(B263,COA!A:B,2,FALSE)</f>
        <v>Non-Utility Property - Accum Depreciation</v>
      </c>
      <c r="D263" s="338" t="str">
        <f t="shared" si="7"/>
        <v>C122</v>
      </c>
      <c r="E263" s="338" t="s">
        <v>6885</v>
      </c>
      <c r="F263" s="338" t="s">
        <v>6906</v>
      </c>
      <c r="G263" s="338">
        <v>0</v>
      </c>
      <c r="H263" s="204" t="s">
        <v>77</v>
      </c>
      <c r="I263" s="204" t="s">
        <v>7359</v>
      </c>
    </row>
    <row r="264" spans="1:9" x14ac:dyDescent="0.25">
      <c r="A264" s="204" t="s">
        <v>331</v>
      </c>
      <c r="B264" s="9" t="str">
        <f t="shared" si="6"/>
        <v>12210000</v>
      </c>
      <c r="C264" s="9" t="str">
        <f>VLOOKUP(B264,COA!A:B,2,FALSE)</f>
        <v>Non-Utility Property - Accum Amortization Cap Lse</v>
      </c>
      <c r="D264" s="338" t="str">
        <f t="shared" si="7"/>
        <v>C122</v>
      </c>
      <c r="E264" s="338" t="s">
        <v>6885</v>
      </c>
      <c r="F264" s="338" t="s">
        <v>6906</v>
      </c>
      <c r="G264" s="338">
        <v>0</v>
      </c>
      <c r="H264" s="204" t="s">
        <v>77</v>
      </c>
      <c r="I264" s="204" t="s">
        <v>7359</v>
      </c>
    </row>
    <row r="265" spans="1:9" x14ac:dyDescent="0.25">
      <c r="A265" s="204" t="s">
        <v>332</v>
      </c>
      <c r="B265" s="9" t="str">
        <f t="shared" ref="B265:B328" si="8">RIGHT(A265,8)</f>
        <v>12310000</v>
      </c>
      <c r="C265" s="9" t="str">
        <f>VLOOKUP(B265,COA!A:B,2,FALSE)</f>
        <v>Goodwill</v>
      </c>
      <c r="D265" s="338" t="str">
        <f t="shared" si="7"/>
        <v>C123</v>
      </c>
      <c r="E265" s="338" t="s">
        <v>6885</v>
      </c>
      <c r="G265" s="338">
        <v>0</v>
      </c>
      <c r="H265" s="204" t="s">
        <v>77</v>
      </c>
      <c r="I265" s="204" t="s">
        <v>7360</v>
      </c>
    </row>
    <row r="266" spans="1:9" x14ac:dyDescent="0.25">
      <c r="A266" s="204" t="s">
        <v>333</v>
      </c>
      <c r="B266" s="9" t="str">
        <f t="shared" si="8"/>
        <v>12320000</v>
      </c>
      <c r="C266" s="9" t="str">
        <f>VLOOKUP(B266,COA!A:B,2,FALSE)</f>
        <v>Goodwill - Post 1/1/06 UPAA</v>
      </c>
      <c r="D266" s="338" t="str">
        <f t="shared" si="7"/>
        <v>C114</v>
      </c>
      <c r="E266" s="338" t="s">
        <v>6885</v>
      </c>
      <c r="G266" s="338">
        <v>0</v>
      </c>
      <c r="H266" s="204" t="s">
        <v>77</v>
      </c>
      <c r="I266" s="204" t="s">
        <v>7356</v>
      </c>
    </row>
    <row r="267" spans="1:9" x14ac:dyDescent="0.25">
      <c r="A267" s="204" t="s">
        <v>334</v>
      </c>
      <c r="B267" s="9" t="str">
        <f t="shared" si="8"/>
        <v>12400000</v>
      </c>
      <c r="C267" s="9" t="str">
        <f>VLOOKUP(B267,COA!A:B,2,FALSE)</f>
        <v>Investments - Outside</v>
      </c>
      <c r="D267" s="338" t="str">
        <f t="shared" ref="D267:D330" si="9">+I267</f>
        <v>C125</v>
      </c>
      <c r="E267" s="338" t="s">
        <v>6885</v>
      </c>
      <c r="G267" s="338">
        <v>0</v>
      </c>
      <c r="H267" s="204" t="s">
        <v>77</v>
      </c>
      <c r="I267" s="204" t="s">
        <v>7361</v>
      </c>
    </row>
    <row r="268" spans="1:9" x14ac:dyDescent="0.25">
      <c r="A268" s="204" t="s">
        <v>335</v>
      </c>
      <c r="B268" s="9" t="str">
        <f t="shared" si="8"/>
        <v>12401000</v>
      </c>
      <c r="C268" s="9" t="str">
        <f>VLOOKUP(B268,COA!A:B,2,FALSE)</f>
        <v>Investment in Joint Venture</v>
      </c>
      <c r="D268" s="338" t="str">
        <f t="shared" si="9"/>
        <v>C125</v>
      </c>
      <c r="E268" s="338" t="s">
        <v>6885</v>
      </c>
      <c r="G268" s="338">
        <v>0</v>
      </c>
      <c r="H268" s="204" t="s">
        <v>77</v>
      </c>
      <c r="I268" s="204" t="s">
        <v>7361</v>
      </c>
    </row>
    <row r="269" spans="1:9" x14ac:dyDescent="0.25">
      <c r="A269" s="204" t="s">
        <v>336</v>
      </c>
      <c r="B269" s="9" t="str">
        <f t="shared" si="8"/>
        <v>12401100</v>
      </c>
      <c r="C269" s="9" t="str">
        <f>VLOOKUP(B269,COA!A:B,2,FALSE)</f>
        <v>Investment in Group Share Joint Venture</v>
      </c>
      <c r="D269" s="338" t="str">
        <f t="shared" si="9"/>
        <v>C125</v>
      </c>
      <c r="E269" s="338" t="s">
        <v>6885</v>
      </c>
      <c r="G269" s="338">
        <v>0</v>
      </c>
      <c r="H269" s="204" t="s">
        <v>77</v>
      </c>
      <c r="I269" s="204" t="s">
        <v>7361</v>
      </c>
    </row>
    <row r="270" spans="1:9" x14ac:dyDescent="0.25">
      <c r="A270" s="204" t="s">
        <v>337</v>
      </c>
      <c r="B270" s="9" t="str">
        <f t="shared" si="8"/>
        <v>12410000</v>
      </c>
      <c r="C270" s="9" t="str">
        <f>VLOOKUP(B270,COA!A:B,2,FALSE)</f>
        <v>Investment in Assoc Co's</v>
      </c>
      <c r="D270" s="338" t="str">
        <f t="shared" si="9"/>
        <v>C123</v>
      </c>
      <c r="E270" s="338" t="s">
        <v>6885</v>
      </c>
      <c r="G270" s="338">
        <v>0</v>
      </c>
      <c r="H270" s="204" t="s">
        <v>77</v>
      </c>
      <c r="I270" s="204" t="s">
        <v>7360</v>
      </c>
    </row>
    <row r="271" spans="1:9" x14ac:dyDescent="0.25">
      <c r="A271" s="204" t="s">
        <v>338</v>
      </c>
      <c r="B271" s="9" t="str">
        <f t="shared" si="8"/>
        <v>12420000</v>
      </c>
      <c r="C271" s="9" t="str">
        <f>VLOOKUP(B271,COA!A:B,2,FALSE)</f>
        <v>Investment in Assoc Co's Preferred Stock</v>
      </c>
      <c r="D271" s="338" t="str">
        <f t="shared" si="9"/>
        <v>C123</v>
      </c>
      <c r="E271" s="338" t="s">
        <v>6885</v>
      </c>
      <c r="G271" s="338">
        <v>0</v>
      </c>
      <c r="H271" s="204" t="s">
        <v>77</v>
      </c>
      <c r="I271" s="204" t="s">
        <v>7360</v>
      </c>
    </row>
    <row r="272" spans="1:9" x14ac:dyDescent="0.25">
      <c r="A272" s="204" t="s">
        <v>339</v>
      </c>
      <c r="B272" s="9" t="str">
        <f t="shared" si="8"/>
        <v>12510000</v>
      </c>
      <c r="C272" s="9" t="str">
        <f>VLOOKUP(B272,COA!A:B,2,FALSE)</f>
        <v>Intangibles - Finite Life</v>
      </c>
      <c r="D272" s="338" t="str">
        <f t="shared" si="9"/>
        <v>C123</v>
      </c>
      <c r="E272" s="338" t="s">
        <v>6885</v>
      </c>
      <c r="G272" s="338">
        <v>0</v>
      </c>
      <c r="H272" s="204" t="s">
        <v>77</v>
      </c>
      <c r="I272" s="204" t="s">
        <v>7360</v>
      </c>
    </row>
    <row r="273" spans="1:9" x14ac:dyDescent="0.25">
      <c r="A273" s="204" t="s">
        <v>340</v>
      </c>
      <c r="B273" s="9" t="str">
        <f t="shared" si="8"/>
        <v>12515000</v>
      </c>
      <c r="C273" s="9" t="str">
        <f>VLOOKUP(B273,COA!A:B,2,FALSE)</f>
        <v>Intangibles - Finite Life - Accum Amort</v>
      </c>
      <c r="D273" s="338" t="str">
        <f t="shared" si="9"/>
        <v>C123</v>
      </c>
      <c r="E273" s="338" t="s">
        <v>6885</v>
      </c>
      <c r="G273" s="338">
        <v>0</v>
      </c>
      <c r="H273" s="204" t="s">
        <v>77</v>
      </c>
      <c r="I273" s="204" t="s">
        <v>7360</v>
      </c>
    </row>
    <row r="274" spans="1:9" x14ac:dyDescent="0.25">
      <c r="A274" s="204" t="s">
        <v>341</v>
      </c>
      <c r="B274" s="9" t="str">
        <f t="shared" si="8"/>
        <v>13112000</v>
      </c>
      <c r="C274" s="9" t="str">
        <f>VLOOKUP(B274,COA!A:B,2,FALSE)</f>
        <v>PNC AWK - Main</v>
      </c>
      <c r="D274" s="338" t="str">
        <f t="shared" si="9"/>
        <v>C1312</v>
      </c>
      <c r="E274" s="338" t="s">
        <v>6885</v>
      </c>
      <c r="G274" s="338">
        <v>0</v>
      </c>
      <c r="H274" s="204" t="s">
        <v>77</v>
      </c>
      <c r="I274" s="204" t="s">
        <v>7362</v>
      </c>
    </row>
    <row r="275" spans="1:9" x14ac:dyDescent="0.25">
      <c r="A275" s="204" t="s">
        <v>342</v>
      </c>
      <c r="B275" s="9" t="str">
        <f t="shared" si="8"/>
        <v>13112001</v>
      </c>
      <c r="C275" s="9" t="str">
        <f>VLOOKUP(B275,COA!A:B,2,FALSE)</f>
        <v>PNC AWK - Outbound Wire</v>
      </c>
      <c r="D275" s="338" t="str">
        <f t="shared" si="9"/>
        <v>C1312</v>
      </c>
      <c r="E275" s="338" t="s">
        <v>6885</v>
      </c>
      <c r="G275" s="338">
        <v>0</v>
      </c>
      <c r="H275" s="204" t="s">
        <v>77</v>
      </c>
      <c r="I275" s="204" t="s">
        <v>7362</v>
      </c>
    </row>
    <row r="276" spans="1:9" x14ac:dyDescent="0.25">
      <c r="A276" s="204" t="s">
        <v>343</v>
      </c>
      <c r="B276" s="9" t="str">
        <f t="shared" si="8"/>
        <v>13112002</v>
      </c>
      <c r="C276" s="9" t="str">
        <f>VLOOKUP(B276,COA!A:B,2,FALSE)</f>
        <v>PNC AWK - Outbound ACH</v>
      </c>
      <c r="D276" s="338" t="str">
        <f t="shared" si="9"/>
        <v>C1312</v>
      </c>
      <c r="E276" s="338" t="s">
        <v>6885</v>
      </c>
      <c r="G276" s="338">
        <v>0</v>
      </c>
      <c r="H276" s="204" t="s">
        <v>77</v>
      </c>
      <c r="I276" s="204" t="s">
        <v>7362</v>
      </c>
    </row>
    <row r="277" spans="1:9" x14ac:dyDescent="0.25">
      <c r="A277" s="204" t="s">
        <v>344</v>
      </c>
      <c r="B277" s="9" t="str">
        <f t="shared" si="8"/>
        <v>13112003</v>
      </c>
      <c r="C277" s="9" t="str">
        <f>VLOOKUP(B277,COA!A:B,2,FALSE)</f>
        <v>PNC AWK - Outbound Check</v>
      </c>
      <c r="D277" s="338" t="str">
        <f t="shared" si="9"/>
        <v>C1312</v>
      </c>
      <c r="E277" s="338" t="s">
        <v>6885</v>
      </c>
      <c r="G277" s="338">
        <v>0</v>
      </c>
      <c r="H277" s="204" t="s">
        <v>77</v>
      </c>
      <c r="I277" s="204" t="s">
        <v>7362</v>
      </c>
    </row>
    <row r="278" spans="1:9" x14ac:dyDescent="0.25">
      <c r="A278" s="204" t="s">
        <v>345</v>
      </c>
      <c r="B278" s="9" t="str">
        <f t="shared" si="8"/>
        <v>13112004</v>
      </c>
      <c r="C278" s="9" t="str">
        <f>VLOOKUP(B278,COA!A:B,2,FALSE)</f>
        <v>PNC AWK - Inbound Wires &amp; ACH</v>
      </c>
      <c r="D278" s="338" t="str">
        <f t="shared" si="9"/>
        <v>C1312</v>
      </c>
      <c r="E278" s="338" t="s">
        <v>6885</v>
      </c>
      <c r="G278" s="338">
        <v>0</v>
      </c>
      <c r="H278" s="204" t="s">
        <v>77</v>
      </c>
      <c r="I278" s="204" t="s">
        <v>7362</v>
      </c>
    </row>
    <row r="279" spans="1:9" x14ac:dyDescent="0.25">
      <c r="A279" s="204" t="s">
        <v>346</v>
      </c>
      <c r="B279" s="9" t="str">
        <f t="shared" si="8"/>
        <v>13112017</v>
      </c>
      <c r="C279" s="9" t="str">
        <f>VLOOKUP(B279,COA!A:B,2,FALSE)</f>
        <v>PNC AWK - Misc Debits/Credits</v>
      </c>
      <c r="D279" s="338" t="str">
        <f t="shared" si="9"/>
        <v>C1312</v>
      </c>
      <c r="E279" s="338" t="s">
        <v>6885</v>
      </c>
      <c r="G279" s="338">
        <v>0</v>
      </c>
      <c r="H279" s="204" t="s">
        <v>77</v>
      </c>
      <c r="I279" s="204" t="s">
        <v>7362</v>
      </c>
    </row>
    <row r="280" spans="1:9" x14ac:dyDescent="0.25">
      <c r="A280" s="204" t="s">
        <v>347</v>
      </c>
      <c r="B280" s="9" t="str">
        <f t="shared" si="8"/>
        <v>13112100</v>
      </c>
      <c r="C280" s="9" t="str">
        <f>VLOOKUP(B280,COA!A:B,2,FALSE)</f>
        <v>PNC AWR - Main</v>
      </c>
      <c r="D280" s="338" t="str">
        <f t="shared" si="9"/>
        <v>C1312</v>
      </c>
      <c r="E280" s="338" t="s">
        <v>6885</v>
      </c>
      <c r="G280" s="338">
        <v>0</v>
      </c>
      <c r="H280" s="204" t="s">
        <v>77</v>
      </c>
      <c r="I280" s="204" t="s">
        <v>7362</v>
      </c>
    </row>
    <row r="281" spans="1:9" x14ac:dyDescent="0.25">
      <c r="A281" s="204" t="s">
        <v>348</v>
      </c>
      <c r="B281" s="9" t="str">
        <f t="shared" si="8"/>
        <v>13112101</v>
      </c>
      <c r="C281" s="9" t="str">
        <f>VLOOKUP(B281,COA!A:B,2,FALSE)</f>
        <v>PNC AWR - Outbound Wire</v>
      </c>
      <c r="D281" s="338" t="str">
        <f t="shared" si="9"/>
        <v>C1312</v>
      </c>
      <c r="E281" s="338" t="s">
        <v>6885</v>
      </c>
      <c r="G281" s="338">
        <v>0</v>
      </c>
      <c r="H281" s="204" t="s">
        <v>77</v>
      </c>
      <c r="I281" s="204" t="s">
        <v>7362</v>
      </c>
    </row>
    <row r="282" spans="1:9" x14ac:dyDescent="0.25">
      <c r="A282" s="204" t="s">
        <v>349</v>
      </c>
      <c r="B282" s="9" t="str">
        <f t="shared" si="8"/>
        <v>13112102</v>
      </c>
      <c r="C282" s="9" t="str">
        <f>VLOOKUP(B282,COA!A:B,2,FALSE)</f>
        <v>PNC AWR - Outbound ACH</v>
      </c>
      <c r="D282" s="338" t="str">
        <f t="shared" si="9"/>
        <v>C1312</v>
      </c>
      <c r="E282" s="338" t="s">
        <v>6885</v>
      </c>
      <c r="G282" s="338">
        <v>0</v>
      </c>
      <c r="H282" s="204" t="s">
        <v>77</v>
      </c>
      <c r="I282" s="204" t="s">
        <v>7362</v>
      </c>
    </row>
    <row r="283" spans="1:9" x14ac:dyDescent="0.25">
      <c r="A283" s="204" t="s">
        <v>350</v>
      </c>
      <c r="B283" s="9" t="str">
        <f t="shared" si="8"/>
        <v>13112103</v>
      </c>
      <c r="C283" s="9" t="str">
        <f>VLOOKUP(B283,COA!A:B,2,FALSE)</f>
        <v>PNC AWR - Outbound Check</v>
      </c>
      <c r="D283" s="338" t="str">
        <f t="shared" si="9"/>
        <v>C1312</v>
      </c>
      <c r="E283" s="338" t="s">
        <v>6885</v>
      </c>
      <c r="G283" s="338">
        <v>0</v>
      </c>
      <c r="H283" s="204" t="s">
        <v>77</v>
      </c>
      <c r="I283" s="204" t="s">
        <v>7362</v>
      </c>
    </row>
    <row r="284" spans="1:9" x14ac:dyDescent="0.25">
      <c r="A284" s="204" t="s">
        <v>351</v>
      </c>
      <c r="B284" s="9" t="str">
        <f t="shared" si="8"/>
        <v>13112104</v>
      </c>
      <c r="C284" s="9" t="str">
        <f>VLOOKUP(B284,COA!A:B,2,FALSE)</f>
        <v>PNC AWR - Inbound Wires &amp; ACH</v>
      </c>
      <c r="D284" s="338" t="str">
        <f t="shared" si="9"/>
        <v>C1312</v>
      </c>
      <c r="E284" s="338" t="s">
        <v>6885</v>
      </c>
      <c r="G284" s="338">
        <v>0</v>
      </c>
      <c r="H284" s="204" t="s">
        <v>77</v>
      </c>
      <c r="I284" s="204" t="s">
        <v>7362</v>
      </c>
    </row>
    <row r="285" spans="1:9" x14ac:dyDescent="0.25">
      <c r="A285" s="204" t="s">
        <v>352</v>
      </c>
      <c r="B285" s="9" t="str">
        <f t="shared" si="8"/>
        <v>13112116</v>
      </c>
      <c r="C285" s="9" t="str">
        <f>VLOOKUP(B285,COA!A:B,2,FALSE)</f>
        <v>PNC AWR - NSF Return Payments</v>
      </c>
      <c r="D285" s="338" t="str">
        <f t="shared" si="9"/>
        <v>C1312</v>
      </c>
      <c r="E285" s="338" t="s">
        <v>6885</v>
      </c>
      <c r="G285" s="338">
        <v>0</v>
      </c>
      <c r="H285" s="204" t="s">
        <v>77</v>
      </c>
      <c r="I285" s="204" t="s">
        <v>7362</v>
      </c>
    </row>
    <row r="286" spans="1:9" x14ac:dyDescent="0.25">
      <c r="A286" s="204" t="s">
        <v>353</v>
      </c>
      <c r="B286" s="9" t="str">
        <f t="shared" si="8"/>
        <v>13112117</v>
      </c>
      <c r="C286" s="9" t="str">
        <f>VLOOKUP(B286,COA!A:B,2,FALSE)</f>
        <v>PNC AWR - Misc Debits/Credits</v>
      </c>
      <c r="D286" s="338" t="str">
        <f t="shared" si="9"/>
        <v>C1312</v>
      </c>
      <c r="E286" s="338" t="s">
        <v>6885</v>
      </c>
      <c r="G286" s="338">
        <v>0</v>
      </c>
      <c r="H286" s="204" t="s">
        <v>77</v>
      </c>
      <c r="I286" s="204" t="s">
        <v>7362</v>
      </c>
    </row>
    <row r="287" spans="1:9" x14ac:dyDescent="0.25">
      <c r="A287" s="204" t="s">
        <v>354</v>
      </c>
      <c r="B287" s="9" t="str">
        <f t="shared" si="8"/>
        <v>13112400</v>
      </c>
      <c r="C287" s="9" t="str">
        <f>VLOOKUP(B287,COA!A:B,2,FALSE)</f>
        <v>PNC Pennvest - Main</v>
      </c>
      <c r="D287" s="338" t="str">
        <f t="shared" si="9"/>
        <v>C1312</v>
      </c>
      <c r="E287" s="338" t="s">
        <v>6885</v>
      </c>
      <c r="G287" s="338">
        <v>0</v>
      </c>
      <c r="H287" s="204" t="s">
        <v>77</v>
      </c>
      <c r="I287" s="204" t="s">
        <v>7362</v>
      </c>
    </row>
    <row r="288" spans="1:9" x14ac:dyDescent="0.25">
      <c r="A288" s="204" t="s">
        <v>355</v>
      </c>
      <c r="B288" s="9" t="str">
        <f t="shared" si="8"/>
        <v>13112401</v>
      </c>
      <c r="C288" s="9" t="str">
        <f>VLOOKUP(B288,COA!A:B,2,FALSE)</f>
        <v>PNC Pennvest - Outbound Wire</v>
      </c>
      <c r="D288" s="338" t="str">
        <f t="shared" si="9"/>
        <v>C1312</v>
      </c>
      <c r="E288" s="338" t="s">
        <v>6885</v>
      </c>
      <c r="G288" s="338">
        <v>0</v>
      </c>
      <c r="H288" s="204" t="s">
        <v>77</v>
      </c>
      <c r="I288" s="204" t="s">
        <v>7362</v>
      </c>
    </row>
    <row r="289" spans="1:9" x14ac:dyDescent="0.25">
      <c r="A289" s="204" t="s">
        <v>356</v>
      </c>
      <c r="B289" s="9" t="str">
        <f t="shared" si="8"/>
        <v>13112402</v>
      </c>
      <c r="C289" s="9" t="str">
        <f>VLOOKUP(B289,COA!A:B,2,FALSE)</f>
        <v>PNC Pennvest - Outbound ACH</v>
      </c>
      <c r="D289" s="338" t="str">
        <f t="shared" si="9"/>
        <v>C1312</v>
      </c>
      <c r="E289" s="338" t="s">
        <v>6885</v>
      </c>
      <c r="G289" s="338">
        <v>0</v>
      </c>
      <c r="H289" s="204" t="s">
        <v>77</v>
      </c>
      <c r="I289" s="204" t="s">
        <v>7362</v>
      </c>
    </row>
    <row r="290" spans="1:9" x14ac:dyDescent="0.25">
      <c r="A290" s="204" t="s">
        <v>357</v>
      </c>
      <c r="B290" s="9" t="str">
        <f t="shared" si="8"/>
        <v>13112404</v>
      </c>
      <c r="C290" s="9" t="str">
        <f>VLOOKUP(B290,COA!A:B,2,FALSE)</f>
        <v>PNC Pennvest - Inbound Wires &amp; ACH</v>
      </c>
      <c r="D290" s="338" t="str">
        <f t="shared" si="9"/>
        <v>C1312</v>
      </c>
      <c r="E290" s="338" t="s">
        <v>6885</v>
      </c>
      <c r="G290" s="338">
        <v>0</v>
      </c>
      <c r="H290" s="204" t="s">
        <v>77</v>
      </c>
      <c r="I290" s="204" t="s">
        <v>7362</v>
      </c>
    </row>
    <row r="291" spans="1:9" x14ac:dyDescent="0.25">
      <c r="A291" s="204" t="s">
        <v>358</v>
      </c>
      <c r="B291" s="9" t="str">
        <f t="shared" si="8"/>
        <v>13112417</v>
      </c>
      <c r="C291" s="9" t="str">
        <f>VLOOKUP(B291,COA!A:B,2,FALSE)</f>
        <v>PNC Pennvest - Misc Debits/Credits</v>
      </c>
      <c r="D291" s="338" t="str">
        <f t="shared" si="9"/>
        <v>C1312</v>
      </c>
      <c r="E291" s="338" t="s">
        <v>6885</v>
      </c>
      <c r="G291" s="338">
        <v>0</v>
      </c>
      <c r="H291" s="204" t="s">
        <v>77</v>
      </c>
      <c r="I291" s="204" t="s">
        <v>7362</v>
      </c>
    </row>
    <row r="292" spans="1:9" x14ac:dyDescent="0.25">
      <c r="A292" s="204" t="s">
        <v>359</v>
      </c>
      <c r="B292" s="9" t="str">
        <f t="shared" si="8"/>
        <v>13112500</v>
      </c>
      <c r="C292" s="9" t="str">
        <f>VLOOKUP(B292,COA!A:B,2,FALSE)</f>
        <v>PNC Investment IL - Main</v>
      </c>
      <c r="D292" s="338" t="str">
        <f t="shared" si="9"/>
        <v>C1312</v>
      </c>
      <c r="E292" s="338" t="s">
        <v>6885</v>
      </c>
      <c r="G292" s="338">
        <v>0</v>
      </c>
      <c r="H292" s="204" t="s">
        <v>77</v>
      </c>
      <c r="I292" s="204" t="s">
        <v>7362</v>
      </c>
    </row>
    <row r="293" spans="1:9" x14ac:dyDescent="0.25">
      <c r="A293" s="204" t="s">
        <v>360</v>
      </c>
      <c r="B293" s="9" t="str">
        <f t="shared" si="8"/>
        <v>13112501</v>
      </c>
      <c r="C293" s="9" t="str">
        <f>VLOOKUP(B293,COA!A:B,2,FALSE)</f>
        <v>PNC Investment IL - Outbound Wire</v>
      </c>
      <c r="D293" s="338" t="str">
        <f t="shared" si="9"/>
        <v>C1312</v>
      </c>
      <c r="E293" s="338" t="s">
        <v>6885</v>
      </c>
      <c r="G293" s="338">
        <v>0</v>
      </c>
      <c r="H293" s="204" t="s">
        <v>77</v>
      </c>
      <c r="I293" s="204" t="s">
        <v>7362</v>
      </c>
    </row>
    <row r="294" spans="1:9" x14ac:dyDescent="0.25">
      <c r="A294" s="204" t="s">
        <v>361</v>
      </c>
      <c r="B294" s="9" t="str">
        <f t="shared" si="8"/>
        <v>13112502</v>
      </c>
      <c r="C294" s="9" t="str">
        <f>VLOOKUP(B294,COA!A:B,2,FALSE)</f>
        <v>PNC Investment IL - Outbound ACH</v>
      </c>
      <c r="D294" s="338" t="str">
        <f t="shared" si="9"/>
        <v>C1312</v>
      </c>
      <c r="E294" s="338" t="s">
        <v>6885</v>
      </c>
      <c r="G294" s="338">
        <v>0</v>
      </c>
      <c r="H294" s="204" t="s">
        <v>77</v>
      </c>
      <c r="I294" s="204" t="s">
        <v>7362</v>
      </c>
    </row>
    <row r="295" spans="1:9" x14ac:dyDescent="0.25">
      <c r="A295" s="204" t="s">
        <v>362</v>
      </c>
      <c r="B295" s="9" t="str">
        <f t="shared" si="8"/>
        <v>13112504</v>
      </c>
      <c r="C295" s="9" t="str">
        <f>VLOOKUP(B295,COA!A:B,2,FALSE)</f>
        <v>PNC Investment IL - Inbound Wires &amp; ACH</v>
      </c>
      <c r="D295" s="338" t="str">
        <f t="shared" si="9"/>
        <v>C1312</v>
      </c>
      <c r="E295" s="338" t="s">
        <v>6885</v>
      </c>
      <c r="G295" s="338">
        <v>0</v>
      </c>
      <c r="H295" s="204" t="s">
        <v>77</v>
      </c>
      <c r="I295" s="204" t="s">
        <v>7362</v>
      </c>
    </row>
    <row r="296" spans="1:9" x14ac:dyDescent="0.25">
      <c r="A296" s="204" t="s">
        <v>363</v>
      </c>
      <c r="B296" s="9" t="str">
        <f t="shared" si="8"/>
        <v>13112517</v>
      </c>
      <c r="C296" s="9" t="str">
        <f>VLOOKUP(B296,COA!A:B,2,FALSE)</f>
        <v>PNC Investment IL - Misc Debits/Credits</v>
      </c>
      <c r="D296" s="338" t="str">
        <f t="shared" si="9"/>
        <v>C1312</v>
      </c>
      <c r="E296" s="338" t="s">
        <v>6885</v>
      </c>
      <c r="G296" s="338">
        <v>0</v>
      </c>
      <c r="H296" s="204" t="s">
        <v>77</v>
      </c>
      <c r="I296" s="204" t="s">
        <v>7362</v>
      </c>
    </row>
    <row r="297" spans="1:9" x14ac:dyDescent="0.25">
      <c r="A297" s="204" t="s">
        <v>364</v>
      </c>
      <c r="B297" s="9" t="str">
        <f t="shared" si="8"/>
        <v>13112700</v>
      </c>
      <c r="C297" s="9" t="str">
        <f>VLOOKUP(B297,COA!A:B,2,FALSE)</f>
        <v>PNC VA - Main</v>
      </c>
      <c r="D297" s="338" t="str">
        <f t="shared" si="9"/>
        <v>C1312</v>
      </c>
      <c r="E297" s="338" t="s">
        <v>6885</v>
      </c>
      <c r="G297" s="338">
        <v>0</v>
      </c>
      <c r="H297" s="204" t="s">
        <v>77</v>
      </c>
      <c r="I297" s="204" t="s">
        <v>7362</v>
      </c>
    </row>
    <row r="298" spans="1:9" x14ac:dyDescent="0.25">
      <c r="A298" s="204" t="s">
        <v>365</v>
      </c>
      <c r="B298" s="9" t="str">
        <f t="shared" si="8"/>
        <v>13112701</v>
      </c>
      <c r="C298" s="9" t="str">
        <f>VLOOKUP(B298,COA!A:B,2,FALSE)</f>
        <v>PNC VA - Main  - Outbound Wire</v>
      </c>
      <c r="D298" s="338" t="str">
        <f t="shared" si="9"/>
        <v>C1312</v>
      </c>
      <c r="E298" s="338" t="s">
        <v>6885</v>
      </c>
      <c r="G298" s="338">
        <v>0</v>
      </c>
      <c r="H298" s="204" t="s">
        <v>77</v>
      </c>
      <c r="I298" s="204" t="s">
        <v>7362</v>
      </c>
    </row>
    <row r="299" spans="1:9" x14ac:dyDescent="0.25">
      <c r="A299" s="204" t="s">
        <v>366</v>
      </c>
      <c r="B299" s="9" t="str">
        <f t="shared" si="8"/>
        <v>13112702</v>
      </c>
      <c r="C299" s="9" t="str">
        <f>VLOOKUP(B299,COA!A:B,2,FALSE)</f>
        <v>PNC VA - Main  - Outbound ACH</v>
      </c>
      <c r="D299" s="338" t="str">
        <f t="shared" si="9"/>
        <v>C1312</v>
      </c>
      <c r="E299" s="338" t="s">
        <v>6885</v>
      </c>
      <c r="G299" s="338">
        <v>0</v>
      </c>
      <c r="H299" s="204" t="s">
        <v>77</v>
      </c>
      <c r="I299" s="204" t="s">
        <v>7362</v>
      </c>
    </row>
    <row r="300" spans="1:9" x14ac:dyDescent="0.25">
      <c r="A300" s="204" t="s">
        <v>367</v>
      </c>
      <c r="B300" s="9" t="str">
        <f t="shared" si="8"/>
        <v>13112717</v>
      </c>
      <c r="C300" s="9" t="str">
        <f>VLOOKUP(B300,COA!A:B,2,FALSE)</f>
        <v>PNC VA - Main  - Misc Debits/Credits</v>
      </c>
      <c r="D300" s="338" t="str">
        <f t="shared" si="9"/>
        <v>C1312</v>
      </c>
      <c r="E300" s="338" t="s">
        <v>6885</v>
      </c>
      <c r="G300" s="338">
        <v>0</v>
      </c>
      <c r="H300" s="204" t="s">
        <v>77</v>
      </c>
      <c r="I300" s="204" t="s">
        <v>7362</v>
      </c>
    </row>
    <row r="301" spans="1:9" x14ac:dyDescent="0.25">
      <c r="A301" s="204" t="s">
        <v>368</v>
      </c>
      <c r="B301" s="9" t="str">
        <f t="shared" si="8"/>
        <v>13112800</v>
      </c>
      <c r="C301" s="9" t="str">
        <f>VLOOKUP(B301,COA!A:B,2,FALSE)</f>
        <v>PNC WV Green Metering - Main</v>
      </c>
      <c r="D301" s="338" t="str">
        <f t="shared" si="9"/>
        <v>C1312</v>
      </c>
      <c r="E301" s="338" t="s">
        <v>6885</v>
      </c>
      <c r="G301" s="338">
        <v>0</v>
      </c>
      <c r="H301" s="204" t="s">
        <v>77</v>
      </c>
      <c r="I301" s="204" t="s">
        <v>7362</v>
      </c>
    </row>
    <row r="302" spans="1:9" x14ac:dyDescent="0.25">
      <c r="A302" s="204" t="s">
        <v>369</v>
      </c>
      <c r="B302" s="9" t="str">
        <f t="shared" si="8"/>
        <v>13112801</v>
      </c>
      <c r="C302" s="9" t="str">
        <f>VLOOKUP(B302,COA!A:B,2,FALSE)</f>
        <v>PNC WV Green Metering - Outbound Wire</v>
      </c>
      <c r="D302" s="338" t="str">
        <f t="shared" si="9"/>
        <v>C1312</v>
      </c>
      <c r="E302" s="338" t="s">
        <v>6885</v>
      </c>
      <c r="G302" s="338">
        <v>0</v>
      </c>
      <c r="H302" s="204" t="s">
        <v>77</v>
      </c>
      <c r="I302" s="204" t="s">
        <v>7362</v>
      </c>
    </row>
    <row r="303" spans="1:9" x14ac:dyDescent="0.25">
      <c r="A303" s="204" t="s">
        <v>370</v>
      </c>
      <c r="B303" s="9" t="str">
        <f t="shared" si="8"/>
        <v>13112802</v>
      </c>
      <c r="C303" s="9" t="str">
        <f>VLOOKUP(B303,COA!A:B,2,FALSE)</f>
        <v>PNC WV Green Metering - Outbound ACH</v>
      </c>
      <c r="D303" s="338" t="str">
        <f t="shared" si="9"/>
        <v>C1312</v>
      </c>
      <c r="E303" s="338" t="s">
        <v>6885</v>
      </c>
      <c r="G303" s="338">
        <v>0</v>
      </c>
      <c r="H303" s="204" t="s">
        <v>77</v>
      </c>
      <c r="I303" s="204" t="s">
        <v>7362</v>
      </c>
    </row>
    <row r="304" spans="1:9" x14ac:dyDescent="0.25">
      <c r="A304" s="204" t="s">
        <v>371</v>
      </c>
      <c r="B304" s="9" t="str">
        <f t="shared" si="8"/>
        <v>13112804</v>
      </c>
      <c r="C304" s="9" t="str">
        <f>VLOOKUP(B304,COA!A:B,2,FALSE)</f>
        <v>PNC WV Green Metering - Inbound Wires &amp; ACH</v>
      </c>
      <c r="D304" s="338" t="str">
        <f t="shared" si="9"/>
        <v>C1312</v>
      </c>
      <c r="E304" s="338" t="s">
        <v>6885</v>
      </c>
      <c r="G304" s="338">
        <v>0</v>
      </c>
      <c r="H304" s="204" t="s">
        <v>77</v>
      </c>
      <c r="I304" s="204" t="s">
        <v>7362</v>
      </c>
    </row>
    <row r="305" spans="1:9" x14ac:dyDescent="0.25">
      <c r="A305" s="204" t="s">
        <v>372</v>
      </c>
      <c r="B305" s="9" t="str">
        <f t="shared" si="8"/>
        <v>13112817</v>
      </c>
      <c r="C305" s="9" t="str">
        <f>VLOOKUP(B305,COA!A:B,2,FALSE)</f>
        <v>PNC WV Green Metering - Misc Debits/Credits</v>
      </c>
      <c r="D305" s="338" t="str">
        <f t="shared" si="9"/>
        <v>C1312</v>
      </c>
      <c r="E305" s="338" t="s">
        <v>6885</v>
      </c>
      <c r="G305" s="338">
        <v>0</v>
      </c>
      <c r="H305" s="204" t="s">
        <v>77</v>
      </c>
      <c r="I305" s="204" t="s">
        <v>7362</v>
      </c>
    </row>
    <row r="306" spans="1:9" x14ac:dyDescent="0.25">
      <c r="A306" s="204" t="s">
        <v>373</v>
      </c>
      <c r="B306" s="9" t="str">
        <f t="shared" si="8"/>
        <v>13115100</v>
      </c>
      <c r="C306" s="9" t="str">
        <f>VLOOKUP(B306,COA!A:B,2,FALSE)</f>
        <v>PNC ETown Corporate - Main</v>
      </c>
      <c r="D306" s="338" t="str">
        <f t="shared" si="9"/>
        <v>C1312</v>
      </c>
      <c r="E306" s="338" t="s">
        <v>6885</v>
      </c>
      <c r="G306" s="338">
        <v>0</v>
      </c>
      <c r="H306" s="204" t="s">
        <v>77</v>
      </c>
      <c r="I306" s="204" t="s">
        <v>7362</v>
      </c>
    </row>
    <row r="307" spans="1:9" x14ac:dyDescent="0.25">
      <c r="A307" s="204" t="s">
        <v>374</v>
      </c>
      <c r="B307" s="9" t="str">
        <f t="shared" si="8"/>
        <v>13115101</v>
      </c>
      <c r="C307" s="9" t="str">
        <f>VLOOKUP(B307,COA!A:B,2,FALSE)</f>
        <v>PNC ETown Corporate - Outbound Wire</v>
      </c>
      <c r="D307" s="338" t="str">
        <f t="shared" si="9"/>
        <v>C1312</v>
      </c>
      <c r="E307" s="338" t="s">
        <v>6885</v>
      </c>
      <c r="G307" s="338">
        <v>0</v>
      </c>
      <c r="H307" s="204" t="s">
        <v>77</v>
      </c>
      <c r="I307" s="204" t="s">
        <v>7362</v>
      </c>
    </row>
    <row r="308" spans="1:9" x14ac:dyDescent="0.25">
      <c r="A308" s="204" t="s">
        <v>375</v>
      </c>
      <c r="B308" s="9" t="str">
        <f t="shared" si="8"/>
        <v>13115102</v>
      </c>
      <c r="C308" s="9" t="str">
        <f>VLOOKUP(B308,COA!A:B,2,FALSE)</f>
        <v>PNC ETown Corporate - Outbound ACH</v>
      </c>
      <c r="D308" s="338" t="str">
        <f t="shared" si="9"/>
        <v>C1312</v>
      </c>
      <c r="E308" s="338" t="s">
        <v>6885</v>
      </c>
      <c r="G308" s="338">
        <v>0</v>
      </c>
      <c r="H308" s="204" t="s">
        <v>77</v>
      </c>
      <c r="I308" s="204" t="s">
        <v>7362</v>
      </c>
    </row>
    <row r="309" spans="1:9" x14ac:dyDescent="0.25">
      <c r="A309" s="204" t="s">
        <v>376</v>
      </c>
      <c r="B309" s="9" t="str">
        <f t="shared" si="8"/>
        <v>13115103</v>
      </c>
      <c r="C309" s="9" t="str">
        <f>VLOOKUP(B309,COA!A:B,2,FALSE)</f>
        <v>PNC ETown Corporate - Outbound Check</v>
      </c>
      <c r="D309" s="338" t="str">
        <f t="shared" si="9"/>
        <v>C1312</v>
      </c>
      <c r="E309" s="338" t="s">
        <v>6885</v>
      </c>
      <c r="G309" s="338">
        <v>0</v>
      </c>
      <c r="H309" s="204" t="s">
        <v>77</v>
      </c>
      <c r="I309" s="204" t="s">
        <v>7362</v>
      </c>
    </row>
    <row r="310" spans="1:9" x14ac:dyDescent="0.25">
      <c r="A310" s="204" t="s">
        <v>377</v>
      </c>
      <c r="B310" s="9" t="str">
        <f t="shared" si="8"/>
        <v>13115104</v>
      </c>
      <c r="C310" s="9" t="str">
        <f>VLOOKUP(B310,COA!A:B,2,FALSE)</f>
        <v>PNC ETown Corporate - Inbound Wires &amp; ACH</v>
      </c>
      <c r="D310" s="338" t="str">
        <f t="shared" si="9"/>
        <v>C1312</v>
      </c>
      <c r="E310" s="338" t="s">
        <v>6885</v>
      </c>
      <c r="G310" s="338">
        <v>0</v>
      </c>
      <c r="H310" s="204" t="s">
        <v>77</v>
      </c>
      <c r="I310" s="204" t="s">
        <v>7362</v>
      </c>
    </row>
    <row r="311" spans="1:9" x14ac:dyDescent="0.25">
      <c r="A311" s="204" t="s">
        <v>378</v>
      </c>
      <c r="B311" s="9" t="str">
        <f t="shared" si="8"/>
        <v>13115116</v>
      </c>
      <c r="C311" s="9" t="str">
        <f>VLOOKUP(B311,COA!A:B,2,FALSE)</f>
        <v>PNC ETown Corporate - NSF Return Payments</v>
      </c>
      <c r="D311" s="338" t="str">
        <f t="shared" si="9"/>
        <v>C1312</v>
      </c>
      <c r="E311" s="338" t="s">
        <v>6885</v>
      </c>
      <c r="G311" s="338">
        <v>0</v>
      </c>
      <c r="H311" s="204" t="s">
        <v>77</v>
      </c>
      <c r="I311" s="204" t="s">
        <v>7362</v>
      </c>
    </row>
    <row r="312" spans="1:9" x14ac:dyDescent="0.25">
      <c r="A312" s="204" t="s">
        <v>379</v>
      </c>
      <c r="B312" s="9" t="str">
        <f t="shared" si="8"/>
        <v>13115117</v>
      </c>
      <c r="C312" s="9" t="str">
        <f>VLOOKUP(B312,COA!A:B,2,FALSE)</f>
        <v>PNC ETown Corporate - Misc Debits/Credits</v>
      </c>
      <c r="D312" s="338" t="str">
        <f t="shared" si="9"/>
        <v>C1312</v>
      </c>
      <c r="E312" s="338" t="s">
        <v>6885</v>
      </c>
      <c r="G312" s="338">
        <v>0</v>
      </c>
      <c r="H312" s="204" t="s">
        <v>77</v>
      </c>
      <c r="I312" s="204" t="s">
        <v>7362</v>
      </c>
    </row>
    <row r="313" spans="1:9" x14ac:dyDescent="0.25">
      <c r="A313" s="204" t="s">
        <v>380</v>
      </c>
      <c r="B313" s="9" t="str">
        <f t="shared" si="8"/>
        <v>13115700</v>
      </c>
      <c r="C313" s="9" t="str">
        <f>VLOOKUP(B313,COA!A:B,2,FALSE)</f>
        <v>PNC ETown Properties - Main</v>
      </c>
      <c r="D313" s="338" t="str">
        <f t="shared" si="9"/>
        <v>C1312</v>
      </c>
      <c r="E313" s="338" t="s">
        <v>6885</v>
      </c>
      <c r="G313" s="338">
        <v>0</v>
      </c>
      <c r="H313" s="204" t="s">
        <v>77</v>
      </c>
      <c r="I313" s="204" t="s">
        <v>7362</v>
      </c>
    </row>
    <row r="314" spans="1:9" x14ac:dyDescent="0.25">
      <c r="A314" s="204" t="s">
        <v>381</v>
      </c>
      <c r="B314" s="9" t="str">
        <f t="shared" si="8"/>
        <v>13115701</v>
      </c>
      <c r="C314" s="9" t="str">
        <f>VLOOKUP(B314,COA!A:B,2,FALSE)</f>
        <v>PNC ETown Properties - Outbound Wire</v>
      </c>
      <c r="D314" s="338" t="str">
        <f t="shared" si="9"/>
        <v>C1312</v>
      </c>
      <c r="E314" s="338" t="s">
        <v>6885</v>
      </c>
      <c r="G314" s="338">
        <v>0</v>
      </c>
      <c r="H314" s="204" t="s">
        <v>77</v>
      </c>
      <c r="I314" s="204" t="s">
        <v>7362</v>
      </c>
    </row>
    <row r="315" spans="1:9" x14ac:dyDescent="0.25">
      <c r="A315" s="204" t="s">
        <v>382</v>
      </c>
      <c r="B315" s="9" t="str">
        <f t="shared" si="8"/>
        <v>13115702</v>
      </c>
      <c r="C315" s="9" t="str">
        <f>VLOOKUP(B315,COA!A:B,2,FALSE)</f>
        <v>PNC ETown Properties - Outbound ACH</v>
      </c>
      <c r="D315" s="338" t="str">
        <f t="shared" si="9"/>
        <v>C1312</v>
      </c>
      <c r="E315" s="338" t="s">
        <v>6885</v>
      </c>
      <c r="G315" s="338">
        <v>0</v>
      </c>
      <c r="H315" s="204" t="s">
        <v>77</v>
      </c>
      <c r="I315" s="204" t="s">
        <v>7362</v>
      </c>
    </row>
    <row r="316" spans="1:9" x14ac:dyDescent="0.25">
      <c r="A316" s="204" t="s">
        <v>383</v>
      </c>
      <c r="B316" s="9" t="str">
        <f t="shared" si="8"/>
        <v>13115703</v>
      </c>
      <c r="C316" s="9" t="str">
        <f>VLOOKUP(B316,COA!A:B,2,FALSE)</f>
        <v>PNC ETown Properties - Outbound Check</v>
      </c>
      <c r="D316" s="338" t="str">
        <f t="shared" si="9"/>
        <v>C1312</v>
      </c>
      <c r="E316" s="338" t="s">
        <v>6885</v>
      </c>
      <c r="G316" s="338">
        <v>0</v>
      </c>
      <c r="H316" s="204" t="s">
        <v>77</v>
      </c>
      <c r="I316" s="204" t="s">
        <v>7362</v>
      </c>
    </row>
    <row r="317" spans="1:9" x14ac:dyDescent="0.25">
      <c r="A317" s="204" t="s">
        <v>384</v>
      </c>
      <c r="B317" s="9" t="str">
        <f t="shared" si="8"/>
        <v>13115704</v>
      </c>
      <c r="C317" s="9" t="str">
        <f>VLOOKUP(B317,COA!A:B,2,FALSE)</f>
        <v>PNC ETown Properties - Inbound Wires &amp; ACH</v>
      </c>
      <c r="D317" s="338" t="str">
        <f t="shared" si="9"/>
        <v>C1312</v>
      </c>
      <c r="E317" s="338" t="s">
        <v>6885</v>
      </c>
      <c r="G317" s="338">
        <v>0</v>
      </c>
      <c r="H317" s="204" t="s">
        <v>77</v>
      </c>
      <c r="I317" s="204" t="s">
        <v>7362</v>
      </c>
    </row>
    <row r="318" spans="1:9" x14ac:dyDescent="0.25">
      <c r="A318" s="204" t="s">
        <v>385</v>
      </c>
      <c r="B318" s="9" t="str">
        <f t="shared" si="8"/>
        <v>13115716</v>
      </c>
      <c r="C318" s="9" t="str">
        <f>VLOOKUP(B318,COA!A:B,2,FALSE)</f>
        <v>PNC ETown Properties - NSF Return Payments</v>
      </c>
      <c r="D318" s="338" t="str">
        <f t="shared" si="9"/>
        <v>C1312</v>
      </c>
      <c r="E318" s="338" t="s">
        <v>6885</v>
      </c>
      <c r="G318" s="338">
        <v>0</v>
      </c>
      <c r="H318" s="204" t="s">
        <v>77</v>
      </c>
      <c r="I318" s="204" t="s">
        <v>7362</v>
      </c>
    </row>
    <row r="319" spans="1:9" x14ac:dyDescent="0.25">
      <c r="A319" s="204" t="s">
        <v>386</v>
      </c>
      <c r="B319" s="9" t="str">
        <f t="shared" si="8"/>
        <v>13115717</v>
      </c>
      <c r="C319" s="9" t="str">
        <f>VLOOKUP(B319,COA!A:B,2,FALSE)</f>
        <v>PNC ETown Properties - Misc Debits/Credits</v>
      </c>
      <c r="D319" s="338" t="str">
        <f t="shared" si="9"/>
        <v>C1312</v>
      </c>
      <c r="E319" s="338" t="s">
        <v>6885</v>
      </c>
      <c r="G319" s="338">
        <v>0</v>
      </c>
      <c r="H319" s="204" t="s">
        <v>77</v>
      </c>
      <c r="I319" s="204" t="s">
        <v>7362</v>
      </c>
    </row>
    <row r="320" spans="1:9" x14ac:dyDescent="0.25">
      <c r="A320" s="204" t="s">
        <v>387</v>
      </c>
      <c r="B320" s="9" t="str">
        <f t="shared" si="8"/>
        <v>13118000</v>
      </c>
      <c r="C320" s="9" t="str">
        <f>VLOOKUP(B320,COA!A:B,2,FALSE)</f>
        <v>PNC Laurel Oak Properties - Main</v>
      </c>
      <c r="D320" s="338" t="str">
        <f t="shared" si="9"/>
        <v>C1312</v>
      </c>
      <c r="E320" s="338" t="s">
        <v>6885</v>
      </c>
      <c r="G320" s="338">
        <v>0</v>
      </c>
      <c r="H320" s="204" t="s">
        <v>77</v>
      </c>
      <c r="I320" s="204" t="s">
        <v>7362</v>
      </c>
    </row>
    <row r="321" spans="1:9" x14ac:dyDescent="0.25">
      <c r="A321" s="204" t="s">
        <v>388</v>
      </c>
      <c r="B321" s="9" t="str">
        <f t="shared" si="8"/>
        <v>13118001</v>
      </c>
      <c r="C321" s="9" t="str">
        <f>VLOOKUP(B321,COA!A:B,2,FALSE)</f>
        <v>PNC Laurel Oak Properties - Outbound Wire</v>
      </c>
      <c r="D321" s="338" t="str">
        <f t="shared" si="9"/>
        <v>C1312</v>
      </c>
      <c r="E321" s="338" t="s">
        <v>6885</v>
      </c>
      <c r="G321" s="338">
        <v>0</v>
      </c>
      <c r="H321" s="204" t="s">
        <v>77</v>
      </c>
      <c r="I321" s="204" t="s">
        <v>7362</v>
      </c>
    </row>
    <row r="322" spans="1:9" x14ac:dyDescent="0.25">
      <c r="A322" s="204" t="s">
        <v>389</v>
      </c>
      <c r="B322" s="9" t="str">
        <f t="shared" si="8"/>
        <v>13118002</v>
      </c>
      <c r="C322" s="9" t="str">
        <f>VLOOKUP(B322,COA!A:B,2,FALSE)</f>
        <v>PNC Laurel Oak Properties - Outbound ACH</v>
      </c>
      <c r="D322" s="338" t="str">
        <f t="shared" si="9"/>
        <v>C1312</v>
      </c>
      <c r="E322" s="338" t="s">
        <v>6885</v>
      </c>
      <c r="G322" s="338">
        <v>0</v>
      </c>
      <c r="H322" s="204" t="s">
        <v>77</v>
      </c>
      <c r="I322" s="204" t="s">
        <v>7362</v>
      </c>
    </row>
    <row r="323" spans="1:9" x14ac:dyDescent="0.25">
      <c r="A323" s="204" t="s">
        <v>390</v>
      </c>
      <c r="B323" s="9" t="str">
        <f t="shared" si="8"/>
        <v>13118003</v>
      </c>
      <c r="C323" s="9" t="str">
        <f>VLOOKUP(B323,COA!A:B,2,FALSE)</f>
        <v>PNC Laurel Oak Properties - Outbound Check</v>
      </c>
      <c r="D323" s="338" t="str">
        <f t="shared" si="9"/>
        <v>C1312</v>
      </c>
      <c r="E323" s="338" t="s">
        <v>6885</v>
      </c>
      <c r="G323" s="338">
        <v>0</v>
      </c>
      <c r="H323" s="204" t="s">
        <v>77</v>
      </c>
      <c r="I323" s="204" t="s">
        <v>7362</v>
      </c>
    </row>
    <row r="324" spans="1:9" x14ac:dyDescent="0.25">
      <c r="A324" s="204" t="s">
        <v>391</v>
      </c>
      <c r="B324" s="9" t="str">
        <f t="shared" si="8"/>
        <v>13118004</v>
      </c>
      <c r="C324" s="9" t="str">
        <f>VLOOKUP(B324,COA!A:B,2,FALSE)</f>
        <v>PNC Laurel Oak Properties - Inbound Wires &amp; ACH</v>
      </c>
      <c r="D324" s="338" t="str">
        <f t="shared" si="9"/>
        <v>C1312</v>
      </c>
      <c r="E324" s="338" t="s">
        <v>6885</v>
      </c>
      <c r="G324" s="338">
        <v>0</v>
      </c>
      <c r="H324" s="204" t="s">
        <v>77</v>
      </c>
      <c r="I324" s="204" t="s">
        <v>7362</v>
      </c>
    </row>
    <row r="325" spans="1:9" x14ac:dyDescent="0.25">
      <c r="A325" s="204" t="s">
        <v>392</v>
      </c>
      <c r="B325" s="9" t="str">
        <f t="shared" si="8"/>
        <v>13118016</v>
      </c>
      <c r="C325" s="9" t="str">
        <f>VLOOKUP(B325,COA!A:B,2,FALSE)</f>
        <v>PNC Laurel Oak Properties - NSF Return Payments</v>
      </c>
      <c r="D325" s="338" t="str">
        <f t="shared" si="9"/>
        <v>C1312</v>
      </c>
      <c r="E325" s="338" t="s">
        <v>6885</v>
      </c>
      <c r="G325" s="338">
        <v>0</v>
      </c>
      <c r="H325" s="204" t="s">
        <v>77</v>
      </c>
      <c r="I325" s="204" t="s">
        <v>7362</v>
      </c>
    </row>
    <row r="326" spans="1:9" x14ac:dyDescent="0.25">
      <c r="A326" s="204" t="s">
        <v>393</v>
      </c>
      <c r="B326" s="9" t="str">
        <f t="shared" si="8"/>
        <v>13118017</v>
      </c>
      <c r="C326" s="9" t="str">
        <f>VLOOKUP(B326,COA!A:B,2,FALSE)</f>
        <v>PNC Laurel Oak Properties - Misc Debits/Credits</v>
      </c>
      <c r="D326" s="338" t="str">
        <f t="shared" si="9"/>
        <v>C1312</v>
      </c>
      <c r="E326" s="338" t="s">
        <v>6885</v>
      </c>
      <c r="G326" s="338">
        <v>0</v>
      </c>
      <c r="H326" s="204" t="s">
        <v>77</v>
      </c>
      <c r="I326" s="204" t="s">
        <v>7362</v>
      </c>
    </row>
    <row r="327" spans="1:9" x14ac:dyDescent="0.25">
      <c r="A327" s="204" t="s">
        <v>394</v>
      </c>
      <c r="B327" s="9" t="str">
        <f t="shared" si="8"/>
        <v>13118500</v>
      </c>
      <c r="C327" s="9" t="str">
        <f>VLOOKUP(B327,COA!A:B,2,FALSE)</f>
        <v>PNC ACUS Corp/Ashbrook - Main (Closed early 2012)</v>
      </c>
      <c r="D327" s="338" t="str">
        <f t="shared" si="9"/>
        <v>C1312</v>
      </c>
      <c r="E327" s="338" t="s">
        <v>6885</v>
      </c>
      <c r="G327" s="338">
        <v>0</v>
      </c>
      <c r="H327" s="204" t="s">
        <v>77</v>
      </c>
      <c r="I327" s="204" t="s">
        <v>7362</v>
      </c>
    </row>
    <row r="328" spans="1:9" x14ac:dyDescent="0.25">
      <c r="A328" s="204" t="s">
        <v>395</v>
      </c>
      <c r="B328" s="9" t="str">
        <f t="shared" si="8"/>
        <v>13119000</v>
      </c>
      <c r="C328" s="9" t="str">
        <f>VLOOKUP(B328,COA!A:B,2,FALSE)</f>
        <v>PNC Thames Water Holding Inc - Main</v>
      </c>
      <c r="D328" s="338" t="str">
        <f t="shared" si="9"/>
        <v>C1312</v>
      </c>
      <c r="E328" s="338" t="s">
        <v>6885</v>
      </c>
      <c r="G328" s="338">
        <v>0</v>
      </c>
      <c r="H328" s="204" t="s">
        <v>77</v>
      </c>
      <c r="I328" s="204" t="s">
        <v>7362</v>
      </c>
    </row>
    <row r="329" spans="1:9" x14ac:dyDescent="0.25">
      <c r="A329" s="204" t="s">
        <v>396</v>
      </c>
      <c r="B329" s="9" t="str">
        <f t="shared" ref="B329:B392" si="10">RIGHT(A329,8)</f>
        <v>13119001</v>
      </c>
      <c r="C329" s="9" t="str">
        <f>VLOOKUP(B329,COA!A:B,2,FALSE)</f>
        <v>PNC Thames Water Holding Inc - Outbound Wire</v>
      </c>
      <c r="D329" s="338" t="str">
        <f t="shared" si="9"/>
        <v>C1312</v>
      </c>
      <c r="E329" s="338" t="s">
        <v>6885</v>
      </c>
      <c r="G329" s="338">
        <v>0</v>
      </c>
      <c r="H329" s="204" t="s">
        <v>77</v>
      </c>
      <c r="I329" s="204" t="s">
        <v>7362</v>
      </c>
    </row>
    <row r="330" spans="1:9" x14ac:dyDescent="0.25">
      <c r="A330" s="204" t="s">
        <v>397</v>
      </c>
      <c r="B330" s="9" t="str">
        <f t="shared" si="10"/>
        <v>13119002</v>
      </c>
      <c r="C330" s="9" t="str">
        <f>VLOOKUP(B330,COA!A:B,2,FALSE)</f>
        <v>PNC Thames Water Holding Inc - Outbound ACH</v>
      </c>
      <c r="D330" s="338" t="str">
        <f t="shared" si="9"/>
        <v>C1312</v>
      </c>
      <c r="E330" s="338" t="s">
        <v>6885</v>
      </c>
      <c r="G330" s="338">
        <v>0</v>
      </c>
      <c r="H330" s="204" t="s">
        <v>77</v>
      </c>
      <c r="I330" s="204" t="s">
        <v>7362</v>
      </c>
    </row>
    <row r="331" spans="1:9" x14ac:dyDescent="0.25">
      <c r="A331" s="204" t="s">
        <v>398</v>
      </c>
      <c r="B331" s="9" t="str">
        <f t="shared" si="10"/>
        <v>13119003</v>
      </c>
      <c r="C331" s="9" t="str">
        <f>VLOOKUP(B331,COA!A:B,2,FALSE)</f>
        <v>PNC Thames Water Holding Inc - Outbound Check</v>
      </c>
      <c r="D331" s="338" t="str">
        <f t="shared" ref="D331:D394" si="11">+I331</f>
        <v>C1312</v>
      </c>
      <c r="E331" s="338" t="s">
        <v>6885</v>
      </c>
      <c r="G331" s="338">
        <v>0</v>
      </c>
      <c r="H331" s="204" t="s">
        <v>77</v>
      </c>
      <c r="I331" s="204" t="s">
        <v>7362</v>
      </c>
    </row>
    <row r="332" spans="1:9" x14ac:dyDescent="0.25">
      <c r="A332" s="204" t="s">
        <v>399</v>
      </c>
      <c r="B332" s="9" t="str">
        <f t="shared" si="10"/>
        <v>13119004</v>
      </c>
      <c r="C332" s="9" t="str">
        <f>VLOOKUP(B332,COA!A:B,2,FALSE)</f>
        <v>PNC Thames Water Holding Inc - Inbound Wires &amp; ACH</v>
      </c>
      <c r="D332" s="338" t="str">
        <f t="shared" si="11"/>
        <v>C1312</v>
      </c>
      <c r="E332" s="338" t="s">
        <v>6885</v>
      </c>
      <c r="G332" s="338">
        <v>0</v>
      </c>
      <c r="H332" s="204" t="s">
        <v>77</v>
      </c>
      <c r="I332" s="204" t="s">
        <v>7362</v>
      </c>
    </row>
    <row r="333" spans="1:9" x14ac:dyDescent="0.25">
      <c r="A333" s="204" t="s">
        <v>400</v>
      </c>
      <c r="B333" s="9" t="str">
        <f t="shared" si="10"/>
        <v>13119016</v>
      </c>
      <c r="C333" s="9" t="str">
        <f>VLOOKUP(B333,COA!A:B,2,FALSE)</f>
        <v>PNC Thames Water Holding Inc - NSF Return Payments</v>
      </c>
      <c r="D333" s="338" t="str">
        <f t="shared" si="11"/>
        <v>C1312</v>
      </c>
      <c r="E333" s="338" t="s">
        <v>6885</v>
      </c>
      <c r="G333" s="338">
        <v>0</v>
      </c>
      <c r="H333" s="204" t="s">
        <v>77</v>
      </c>
      <c r="I333" s="204" t="s">
        <v>7362</v>
      </c>
    </row>
    <row r="334" spans="1:9" x14ac:dyDescent="0.25">
      <c r="A334" s="204" t="s">
        <v>401</v>
      </c>
      <c r="B334" s="9" t="str">
        <f t="shared" si="10"/>
        <v>13119017</v>
      </c>
      <c r="C334" s="9" t="str">
        <f>VLOOKUP(B334,COA!A:B,2,FALSE)</f>
        <v>PNC Thames Water Holding Inc - Misc Debits/Credits</v>
      </c>
      <c r="D334" s="338" t="str">
        <f t="shared" si="11"/>
        <v>C1312</v>
      </c>
      <c r="E334" s="338" t="s">
        <v>6885</v>
      </c>
      <c r="G334" s="338">
        <v>0</v>
      </c>
      <c r="H334" s="204" t="s">
        <v>77</v>
      </c>
      <c r="I334" s="204" t="s">
        <v>7362</v>
      </c>
    </row>
    <row r="335" spans="1:9" x14ac:dyDescent="0.25">
      <c r="A335" s="204" t="s">
        <v>402</v>
      </c>
      <c r="B335" s="9" t="str">
        <f t="shared" si="10"/>
        <v>13119100</v>
      </c>
      <c r="C335" s="9" t="str">
        <f>VLOOKUP(B335,COA!A:B,2,FALSE)</f>
        <v>PNC TWNA - Main</v>
      </c>
      <c r="D335" s="338" t="str">
        <f t="shared" si="11"/>
        <v>C1312</v>
      </c>
      <c r="E335" s="338" t="s">
        <v>6885</v>
      </c>
      <c r="G335" s="338">
        <v>0</v>
      </c>
      <c r="H335" s="204" t="s">
        <v>77</v>
      </c>
      <c r="I335" s="204" t="s">
        <v>7362</v>
      </c>
    </row>
    <row r="336" spans="1:9" x14ac:dyDescent="0.25">
      <c r="A336" s="204" t="s">
        <v>403</v>
      </c>
      <c r="B336" s="9" t="str">
        <f t="shared" si="10"/>
        <v>13119101</v>
      </c>
      <c r="C336" s="9" t="str">
        <f>VLOOKUP(B336,COA!A:B,2,FALSE)</f>
        <v>PNC TWNA - Outbound Wire</v>
      </c>
      <c r="D336" s="338" t="str">
        <f t="shared" si="11"/>
        <v>C1312</v>
      </c>
      <c r="E336" s="338" t="s">
        <v>6885</v>
      </c>
      <c r="G336" s="338">
        <v>0</v>
      </c>
      <c r="H336" s="204" t="s">
        <v>77</v>
      </c>
      <c r="I336" s="204" t="s">
        <v>7362</v>
      </c>
    </row>
    <row r="337" spans="1:9" x14ac:dyDescent="0.25">
      <c r="A337" s="204" t="s">
        <v>404</v>
      </c>
      <c r="B337" s="9" t="str">
        <f t="shared" si="10"/>
        <v>13119102</v>
      </c>
      <c r="C337" s="9" t="str">
        <f>VLOOKUP(B337,COA!A:B,2,FALSE)</f>
        <v>PNC TWNA - Outbound ACH</v>
      </c>
      <c r="D337" s="338" t="str">
        <f t="shared" si="11"/>
        <v>C1312</v>
      </c>
      <c r="E337" s="338" t="s">
        <v>6885</v>
      </c>
      <c r="G337" s="338">
        <v>0</v>
      </c>
      <c r="H337" s="204" t="s">
        <v>77</v>
      </c>
      <c r="I337" s="204" t="s">
        <v>7362</v>
      </c>
    </row>
    <row r="338" spans="1:9" x14ac:dyDescent="0.25">
      <c r="A338" s="204" t="s">
        <v>405</v>
      </c>
      <c r="B338" s="9" t="str">
        <f t="shared" si="10"/>
        <v>13119103</v>
      </c>
      <c r="C338" s="9" t="str">
        <f>VLOOKUP(B338,COA!A:B,2,FALSE)</f>
        <v>PNC TWNA - Outbound Check</v>
      </c>
      <c r="D338" s="338" t="str">
        <f t="shared" si="11"/>
        <v>C1312</v>
      </c>
      <c r="E338" s="338" t="s">
        <v>6885</v>
      </c>
      <c r="G338" s="338">
        <v>0</v>
      </c>
      <c r="H338" s="204" t="s">
        <v>77</v>
      </c>
      <c r="I338" s="204" t="s">
        <v>7362</v>
      </c>
    </row>
    <row r="339" spans="1:9" x14ac:dyDescent="0.25">
      <c r="A339" s="204" t="s">
        <v>406</v>
      </c>
      <c r="B339" s="9" t="str">
        <f t="shared" si="10"/>
        <v>13119104</v>
      </c>
      <c r="C339" s="9" t="str">
        <f>VLOOKUP(B339,COA!A:B,2,FALSE)</f>
        <v>PNC TWNA - Inbound Wires &amp; ACH</v>
      </c>
      <c r="D339" s="338" t="str">
        <f t="shared" si="11"/>
        <v>C1312</v>
      </c>
      <c r="E339" s="338" t="s">
        <v>6885</v>
      </c>
      <c r="G339" s="338">
        <v>0</v>
      </c>
      <c r="H339" s="204" t="s">
        <v>77</v>
      </c>
      <c r="I339" s="204" t="s">
        <v>7362</v>
      </c>
    </row>
    <row r="340" spans="1:9" x14ac:dyDescent="0.25">
      <c r="A340" s="204" t="s">
        <v>407</v>
      </c>
      <c r="B340" s="9" t="str">
        <f t="shared" si="10"/>
        <v>13119116</v>
      </c>
      <c r="C340" s="9" t="str">
        <f>VLOOKUP(B340,COA!A:B,2,FALSE)</f>
        <v>PNC TWNA - NSF Return Payments</v>
      </c>
      <c r="D340" s="338" t="str">
        <f t="shared" si="11"/>
        <v>C1312</v>
      </c>
      <c r="E340" s="338" t="s">
        <v>6885</v>
      </c>
      <c r="G340" s="338">
        <v>0</v>
      </c>
      <c r="H340" s="204" t="s">
        <v>77</v>
      </c>
      <c r="I340" s="204" t="s">
        <v>7362</v>
      </c>
    </row>
    <row r="341" spans="1:9" x14ac:dyDescent="0.25">
      <c r="A341" s="204" t="s">
        <v>408</v>
      </c>
      <c r="B341" s="9" t="str">
        <f t="shared" si="10"/>
        <v>13119117</v>
      </c>
      <c r="C341" s="9" t="str">
        <f>VLOOKUP(B341,COA!A:B,2,FALSE)</f>
        <v>PNC TWNA - Misc Debits/Credits</v>
      </c>
      <c r="D341" s="338" t="str">
        <f t="shared" si="11"/>
        <v>C1312</v>
      </c>
      <c r="E341" s="338" t="s">
        <v>6885</v>
      </c>
      <c r="G341" s="338">
        <v>0</v>
      </c>
      <c r="H341" s="204" t="s">
        <v>77</v>
      </c>
      <c r="I341" s="204" t="s">
        <v>7362</v>
      </c>
    </row>
    <row r="342" spans="1:9" x14ac:dyDescent="0.25">
      <c r="A342" s="204" t="s">
        <v>409</v>
      </c>
      <c r="B342" s="9" t="str">
        <f t="shared" si="10"/>
        <v>13120000</v>
      </c>
      <c r="C342" s="9" t="str">
        <f>VLOOKUP(B342,COA!A:B,2,FALSE)</f>
        <v>BNYM - Concentration</v>
      </c>
      <c r="D342" s="338" t="str">
        <f t="shared" si="11"/>
        <v>C1312</v>
      </c>
      <c r="E342" s="338" t="s">
        <v>6885</v>
      </c>
      <c r="G342" s="338">
        <v>0</v>
      </c>
      <c r="H342" s="204" t="s">
        <v>77</v>
      </c>
      <c r="I342" s="204" t="s">
        <v>7362</v>
      </c>
    </row>
    <row r="343" spans="1:9" x14ac:dyDescent="0.25">
      <c r="A343" s="204" t="s">
        <v>410</v>
      </c>
      <c r="B343" s="9" t="str">
        <f t="shared" si="10"/>
        <v>13120001</v>
      </c>
      <c r="C343" s="9" t="str">
        <f>VLOOKUP(B343,COA!A:B,2,FALSE)</f>
        <v>BNYM-Conc - Outbound Wire</v>
      </c>
      <c r="D343" s="338" t="str">
        <f t="shared" si="11"/>
        <v>C1312</v>
      </c>
      <c r="E343" s="338" t="s">
        <v>6885</v>
      </c>
      <c r="G343" s="338">
        <v>0</v>
      </c>
      <c r="H343" s="204" t="s">
        <v>77</v>
      </c>
      <c r="I343" s="204" t="s">
        <v>7362</v>
      </c>
    </row>
    <row r="344" spans="1:9" x14ac:dyDescent="0.25">
      <c r="A344" s="204" t="s">
        <v>411</v>
      </c>
      <c r="B344" s="9" t="str">
        <f t="shared" si="10"/>
        <v>13120004</v>
      </c>
      <c r="C344" s="9" t="str">
        <f>VLOOKUP(B344,COA!A:B,2,FALSE)</f>
        <v>BNYM-Conc - Inbound Wires &amp; ACH</v>
      </c>
      <c r="D344" s="338" t="str">
        <f t="shared" si="11"/>
        <v>C1312</v>
      </c>
      <c r="E344" s="338" t="s">
        <v>6885</v>
      </c>
      <c r="G344" s="338">
        <v>0</v>
      </c>
      <c r="H344" s="204" t="s">
        <v>77</v>
      </c>
      <c r="I344" s="204" t="s">
        <v>7362</v>
      </c>
    </row>
    <row r="345" spans="1:9" x14ac:dyDescent="0.25">
      <c r="A345" s="204" t="s">
        <v>412</v>
      </c>
      <c r="B345" s="9" t="str">
        <f t="shared" si="10"/>
        <v>13120005</v>
      </c>
      <c r="C345" s="9" t="str">
        <f>VLOOKUP(B345,COA!A:B,2,FALSE)</f>
        <v>BNYM-Conc - ZBA Activity</v>
      </c>
      <c r="D345" s="338" t="str">
        <f t="shared" si="11"/>
        <v>C1312</v>
      </c>
      <c r="E345" s="338" t="s">
        <v>6885</v>
      </c>
      <c r="G345" s="338">
        <v>0</v>
      </c>
      <c r="H345" s="204" t="s">
        <v>77</v>
      </c>
      <c r="I345" s="204" t="s">
        <v>7362</v>
      </c>
    </row>
    <row r="346" spans="1:9" x14ac:dyDescent="0.25">
      <c r="A346" s="204" t="s">
        <v>413</v>
      </c>
      <c r="B346" s="9" t="str">
        <f t="shared" si="10"/>
        <v>13120006</v>
      </c>
      <c r="C346" s="9" t="str">
        <f>VLOOKUP(B346,COA!A:B,2,FALSE)</f>
        <v>BNYM-Conc - Customer Direct Debit</v>
      </c>
      <c r="D346" s="338" t="str">
        <f t="shared" si="11"/>
        <v>C1312</v>
      </c>
      <c r="E346" s="338" t="s">
        <v>6885</v>
      </c>
      <c r="G346" s="338">
        <v>0</v>
      </c>
      <c r="H346" s="204" t="s">
        <v>77</v>
      </c>
      <c r="I346" s="204" t="s">
        <v>7362</v>
      </c>
    </row>
    <row r="347" spans="1:9" x14ac:dyDescent="0.25">
      <c r="A347" s="204" t="s">
        <v>414</v>
      </c>
      <c r="B347" s="9" t="str">
        <f t="shared" si="10"/>
        <v>13120007</v>
      </c>
      <c r="C347" s="9" t="str">
        <f>VLOOKUP(B347,COA!A:B,2,FALSE)</f>
        <v>BNYM-Conc - Customer ACH</v>
      </c>
      <c r="D347" s="338" t="str">
        <f t="shared" si="11"/>
        <v>C1312</v>
      </c>
      <c r="E347" s="338" t="s">
        <v>6885</v>
      </c>
      <c r="G347" s="338">
        <v>0</v>
      </c>
      <c r="H347" s="204" t="s">
        <v>77</v>
      </c>
      <c r="I347" s="204" t="s">
        <v>7362</v>
      </c>
    </row>
    <row r="348" spans="1:9" x14ac:dyDescent="0.25">
      <c r="A348" s="204" t="s">
        <v>415</v>
      </c>
      <c r="B348" s="9" t="str">
        <f t="shared" si="10"/>
        <v>13120008</v>
      </c>
      <c r="C348" s="9" t="str">
        <f>VLOOKUP(B348,COA!A:B,2,FALSE)</f>
        <v>BNYM-Conc - Customer Lockbox</v>
      </c>
      <c r="D348" s="338" t="str">
        <f t="shared" si="11"/>
        <v>C1312</v>
      </c>
      <c r="E348" s="338" t="s">
        <v>6885</v>
      </c>
      <c r="G348" s="338">
        <v>0</v>
      </c>
      <c r="H348" s="204" t="s">
        <v>77</v>
      </c>
      <c r="I348" s="204" t="s">
        <v>7362</v>
      </c>
    </row>
    <row r="349" spans="1:9" x14ac:dyDescent="0.25">
      <c r="A349" s="204" t="s">
        <v>416</v>
      </c>
      <c r="B349" s="9" t="str">
        <f t="shared" si="10"/>
        <v>13120009</v>
      </c>
      <c r="C349" s="9" t="str">
        <f>VLOOKUP(B349,COA!A:B,2,FALSE)</f>
        <v>BNYM-Conc - Online Resources Credit Corp</v>
      </c>
      <c r="D349" s="338" t="str">
        <f t="shared" si="11"/>
        <v>C1312</v>
      </c>
      <c r="E349" s="338" t="s">
        <v>6885</v>
      </c>
      <c r="G349" s="338">
        <v>0</v>
      </c>
      <c r="H349" s="204" t="s">
        <v>77</v>
      </c>
      <c r="I349" s="204" t="s">
        <v>7362</v>
      </c>
    </row>
    <row r="350" spans="1:9" x14ac:dyDescent="0.25">
      <c r="A350" s="204" t="s">
        <v>417</v>
      </c>
      <c r="B350" s="9" t="str">
        <f t="shared" si="10"/>
        <v>13120010</v>
      </c>
      <c r="C350" s="9" t="str">
        <f>VLOOKUP(B350,COA!A:B,2,FALSE)</f>
        <v>BNYM-Conc - First Tech</v>
      </c>
      <c r="D350" s="338" t="str">
        <f t="shared" si="11"/>
        <v>C1312</v>
      </c>
      <c r="E350" s="338" t="s">
        <v>6885</v>
      </c>
      <c r="G350" s="338">
        <v>0</v>
      </c>
      <c r="H350" s="204" t="s">
        <v>77</v>
      </c>
      <c r="I350" s="204" t="s">
        <v>7362</v>
      </c>
    </row>
    <row r="351" spans="1:9" x14ac:dyDescent="0.25">
      <c r="A351" s="204" t="s">
        <v>418</v>
      </c>
      <c r="B351" s="9" t="str">
        <f t="shared" si="10"/>
        <v>13120011</v>
      </c>
      <c r="C351" s="9" t="str">
        <f>VLOOKUP(B351,COA!A:B,2,FALSE)</f>
        <v>BNYM-Conc - FiServ (fka CheckFree)</v>
      </c>
      <c r="D351" s="338" t="str">
        <f t="shared" si="11"/>
        <v>C1312</v>
      </c>
      <c r="E351" s="338" t="s">
        <v>6885</v>
      </c>
      <c r="G351" s="338">
        <v>0</v>
      </c>
      <c r="H351" s="204" t="s">
        <v>77</v>
      </c>
      <c r="I351" s="204" t="s">
        <v>7362</v>
      </c>
    </row>
    <row r="352" spans="1:9" x14ac:dyDescent="0.25">
      <c r="A352" s="204" t="s">
        <v>419</v>
      </c>
      <c r="B352" s="9" t="str">
        <f t="shared" si="10"/>
        <v>13120012</v>
      </c>
      <c r="C352" s="9" t="str">
        <f>VLOOKUP(B352,COA!A:B,2,FALSE)</f>
        <v>BNYM-Conc - Penn Credit</v>
      </c>
      <c r="D352" s="338" t="str">
        <f t="shared" si="11"/>
        <v>C1312</v>
      </c>
      <c r="E352" s="338" t="s">
        <v>6885</v>
      </c>
      <c r="G352" s="338">
        <v>0</v>
      </c>
      <c r="H352" s="204" t="s">
        <v>77</v>
      </c>
      <c r="I352" s="204" t="s">
        <v>7362</v>
      </c>
    </row>
    <row r="353" spans="1:9" x14ac:dyDescent="0.25">
      <c r="A353" s="204" t="s">
        <v>420</v>
      </c>
      <c r="B353" s="9" t="str">
        <f t="shared" si="10"/>
        <v>13120013</v>
      </c>
      <c r="C353" s="9" t="str">
        <f>VLOOKUP(B353,COA!A:B,2,FALSE)</f>
        <v>BNYM-Conc - E-Return - Mellon</v>
      </c>
      <c r="D353" s="338" t="str">
        <f t="shared" si="11"/>
        <v>C1312</v>
      </c>
      <c r="E353" s="338" t="s">
        <v>6885</v>
      </c>
      <c r="G353" s="338">
        <v>0</v>
      </c>
      <c r="H353" s="204" t="s">
        <v>77</v>
      </c>
      <c r="I353" s="204" t="s">
        <v>7362</v>
      </c>
    </row>
    <row r="354" spans="1:9" x14ac:dyDescent="0.25">
      <c r="A354" s="204" t="s">
        <v>421</v>
      </c>
      <c r="B354" s="9" t="str">
        <f t="shared" si="10"/>
        <v>13120014</v>
      </c>
      <c r="C354" s="9" t="str">
        <f>VLOOKUP(B354,COA!A:B,2,FALSE)</f>
        <v>BNYM-Conc - E-Return - Online Resource Ck Conv</v>
      </c>
      <c r="D354" s="338" t="str">
        <f t="shared" si="11"/>
        <v>C1312</v>
      </c>
      <c r="E354" s="338" t="s">
        <v>6885</v>
      </c>
      <c r="G354" s="338">
        <v>0</v>
      </c>
      <c r="H354" s="204" t="s">
        <v>77</v>
      </c>
      <c r="I354" s="204" t="s">
        <v>7362</v>
      </c>
    </row>
    <row r="355" spans="1:9" x14ac:dyDescent="0.25">
      <c r="A355" s="204" t="s">
        <v>422</v>
      </c>
      <c r="B355" s="9" t="str">
        <f t="shared" si="10"/>
        <v>13120015</v>
      </c>
      <c r="C355" s="9" t="str">
        <f>VLOOKUP(B355,COA!A:B,2,FALSE)</f>
        <v>BNYM-Conc - Customer Accts Receiv Ck Conversion</v>
      </c>
      <c r="D355" s="338" t="str">
        <f t="shared" si="11"/>
        <v>C1312</v>
      </c>
      <c r="E355" s="338" t="s">
        <v>6885</v>
      </c>
      <c r="G355" s="338">
        <v>0</v>
      </c>
      <c r="H355" s="204" t="s">
        <v>77</v>
      </c>
      <c r="I355" s="204" t="s">
        <v>7362</v>
      </c>
    </row>
    <row r="356" spans="1:9" x14ac:dyDescent="0.25">
      <c r="A356" s="204" t="s">
        <v>423</v>
      </c>
      <c r="B356" s="9" t="str">
        <f t="shared" si="10"/>
        <v>13120016</v>
      </c>
      <c r="C356" s="9" t="str">
        <f>VLOOKUP(B356,COA!A:B,2,FALSE)</f>
        <v>BNYM-Conc - NSF Return Payments</v>
      </c>
      <c r="D356" s="338" t="str">
        <f t="shared" si="11"/>
        <v>C1312</v>
      </c>
      <c r="E356" s="338" t="s">
        <v>6885</v>
      </c>
      <c r="G356" s="338">
        <v>0</v>
      </c>
      <c r="H356" s="204" t="s">
        <v>77</v>
      </c>
      <c r="I356" s="204" t="s">
        <v>7362</v>
      </c>
    </row>
    <row r="357" spans="1:9" x14ac:dyDescent="0.25">
      <c r="A357" s="204" t="s">
        <v>424</v>
      </c>
      <c r="B357" s="9" t="str">
        <f t="shared" si="10"/>
        <v>13120017</v>
      </c>
      <c r="C357" s="9" t="str">
        <f>VLOOKUP(B357,COA!A:B,2,FALSE)</f>
        <v>BNYM-Conc - Misc Debits/Credits</v>
      </c>
      <c r="D357" s="338" t="str">
        <f t="shared" si="11"/>
        <v>C1312</v>
      </c>
      <c r="E357" s="338" t="s">
        <v>6885</v>
      </c>
      <c r="G357" s="338">
        <v>0</v>
      </c>
      <c r="H357" s="204" t="s">
        <v>77</v>
      </c>
      <c r="I357" s="204" t="s">
        <v>7362</v>
      </c>
    </row>
    <row r="358" spans="1:9" x14ac:dyDescent="0.25">
      <c r="A358" s="204" t="s">
        <v>425</v>
      </c>
      <c r="B358" s="9" t="str">
        <f t="shared" si="10"/>
        <v>13120100</v>
      </c>
      <c r="C358" s="9" t="str">
        <f>VLOOKUP(B358,COA!A:B,2,FALSE)</f>
        <v>BNYM Pass thru-IL</v>
      </c>
      <c r="D358" s="338" t="str">
        <f t="shared" si="11"/>
        <v>C1312</v>
      </c>
      <c r="E358" s="338" t="s">
        <v>6885</v>
      </c>
      <c r="G358" s="338">
        <v>0</v>
      </c>
      <c r="H358" s="204" t="s">
        <v>77</v>
      </c>
      <c r="I358" s="204" t="s">
        <v>7362</v>
      </c>
    </row>
    <row r="359" spans="1:9" x14ac:dyDescent="0.25">
      <c r="A359" s="204" t="s">
        <v>426</v>
      </c>
      <c r="B359" s="9" t="str">
        <f t="shared" si="10"/>
        <v>13120101</v>
      </c>
      <c r="C359" s="9" t="str">
        <f>VLOOKUP(B359,COA!A:B,2,FALSE)</f>
        <v>BNYM Pass thru-IL - Outbound Wire</v>
      </c>
      <c r="D359" s="338" t="str">
        <f t="shared" si="11"/>
        <v>C1312</v>
      </c>
      <c r="E359" s="338" t="s">
        <v>6885</v>
      </c>
      <c r="G359" s="338">
        <v>0</v>
      </c>
      <c r="H359" s="204" t="s">
        <v>77</v>
      </c>
      <c r="I359" s="204" t="s">
        <v>7362</v>
      </c>
    </row>
    <row r="360" spans="1:9" x14ac:dyDescent="0.25">
      <c r="A360" s="204" t="s">
        <v>427</v>
      </c>
      <c r="B360" s="9" t="str">
        <f t="shared" si="10"/>
        <v>13120104</v>
      </c>
      <c r="C360" s="9" t="str">
        <f>VLOOKUP(B360,COA!A:B,2,FALSE)</f>
        <v>BNYM Pass thru-IL - Inbound Wires &amp; ACH</v>
      </c>
      <c r="D360" s="338" t="str">
        <f t="shared" si="11"/>
        <v>C1312</v>
      </c>
      <c r="E360" s="338" t="s">
        <v>6885</v>
      </c>
      <c r="G360" s="338">
        <v>0</v>
      </c>
      <c r="H360" s="204" t="s">
        <v>77</v>
      </c>
      <c r="I360" s="204" t="s">
        <v>7362</v>
      </c>
    </row>
    <row r="361" spans="1:9" x14ac:dyDescent="0.25">
      <c r="A361" s="204" t="s">
        <v>428</v>
      </c>
      <c r="B361" s="9" t="str">
        <f t="shared" si="10"/>
        <v>13120106</v>
      </c>
      <c r="C361" s="9" t="str">
        <f>VLOOKUP(B361,COA!A:B,2,FALSE)</f>
        <v>BNYM Pass thru-IL - Customer Direct Debit</v>
      </c>
      <c r="D361" s="338" t="str">
        <f t="shared" si="11"/>
        <v>C1312</v>
      </c>
      <c r="E361" s="338" t="s">
        <v>6885</v>
      </c>
      <c r="G361" s="338">
        <v>0</v>
      </c>
      <c r="H361" s="204" t="s">
        <v>77</v>
      </c>
      <c r="I361" s="204" t="s">
        <v>7362</v>
      </c>
    </row>
    <row r="362" spans="1:9" x14ac:dyDescent="0.25">
      <c r="A362" s="204" t="s">
        <v>429</v>
      </c>
      <c r="B362" s="9" t="str">
        <f t="shared" si="10"/>
        <v>13120107</v>
      </c>
      <c r="C362" s="9" t="str">
        <f>VLOOKUP(B362,COA!A:B,2,FALSE)</f>
        <v>BNYM Pass thru-IL - Customer ACH</v>
      </c>
      <c r="D362" s="338" t="str">
        <f t="shared" si="11"/>
        <v>C1312</v>
      </c>
      <c r="E362" s="338" t="s">
        <v>6885</v>
      </c>
      <c r="G362" s="338">
        <v>0</v>
      </c>
      <c r="H362" s="204" t="s">
        <v>77</v>
      </c>
      <c r="I362" s="204" t="s">
        <v>7362</v>
      </c>
    </row>
    <row r="363" spans="1:9" x14ac:dyDescent="0.25">
      <c r="A363" s="204" t="s">
        <v>430</v>
      </c>
      <c r="B363" s="9" t="str">
        <f t="shared" si="10"/>
        <v>13120108</v>
      </c>
      <c r="C363" s="9" t="str">
        <f>VLOOKUP(B363,COA!A:B,2,FALSE)</f>
        <v>BNYM Pass thru-IL - Customer Lockbox</v>
      </c>
      <c r="D363" s="338" t="str">
        <f t="shared" si="11"/>
        <v>C1312</v>
      </c>
      <c r="E363" s="338" t="s">
        <v>6885</v>
      </c>
      <c r="G363" s="338">
        <v>0</v>
      </c>
      <c r="H363" s="204" t="s">
        <v>77</v>
      </c>
      <c r="I363" s="204" t="s">
        <v>7362</v>
      </c>
    </row>
    <row r="364" spans="1:9" x14ac:dyDescent="0.25">
      <c r="A364" s="204" t="s">
        <v>431</v>
      </c>
      <c r="B364" s="9" t="str">
        <f t="shared" si="10"/>
        <v>13120109</v>
      </c>
      <c r="C364" s="9" t="str">
        <f>VLOOKUP(B364,COA!A:B,2,FALSE)</f>
        <v>BNYM Pass thru-IL - Online Resources Credit Corp</v>
      </c>
      <c r="D364" s="338" t="str">
        <f t="shared" si="11"/>
        <v>C1312</v>
      </c>
      <c r="E364" s="338" t="s">
        <v>6885</v>
      </c>
      <c r="G364" s="338">
        <v>0</v>
      </c>
      <c r="H364" s="204" t="s">
        <v>77</v>
      </c>
      <c r="I364" s="204" t="s">
        <v>7362</v>
      </c>
    </row>
    <row r="365" spans="1:9" x14ac:dyDescent="0.25">
      <c r="A365" s="204" t="s">
        <v>432</v>
      </c>
      <c r="B365" s="9" t="str">
        <f t="shared" si="10"/>
        <v>13120110</v>
      </c>
      <c r="C365" s="9" t="str">
        <f>VLOOKUP(B365,COA!A:B,2,FALSE)</f>
        <v>BNYM Pass thru-IL - First Tech</v>
      </c>
      <c r="D365" s="338" t="str">
        <f t="shared" si="11"/>
        <v>C1312</v>
      </c>
      <c r="E365" s="338" t="s">
        <v>6885</v>
      </c>
      <c r="G365" s="338">
        <v>0</v>
      </c>
      <c r="H365" s="204" t="s">
        <v>77</v>
      </c>
      <c r="I365" s="204" t="s">
        <v>7362</v>
      </c>
    </row>
    <row r="366" spans="1:9" x14ac:dyDescent="0.25">
      <c r="A366" s="204" t="s">
        <v>433</v>
      </c>
      <c r="B366" s="9" t="str">
        <f t="shared" si="10"/>
        <v>13120111</v>
      </c>
      <c r="C366" s="9" t="str">
        <f>VLOOKUP(B366,COA!A:B,2,FALSE)</f>
        <v>BNYM Pass thru-IL - FiServ (fka CheckFree)</v>
      </c>
      <c r="D366" s="338" t="str">
        <f t="shared" si="11"/>
        <v>C1312</v>
      </c>
      <c r="E366" s="338" t="s">
        <v>6885</v>
      </c>
      <c r="G366" s="338">
        <v>0</v>
      </c>
      <c r="H366" s="204" t="s">
        <v>77</v>
      </c>
      <c r="I366" s="204" t="s">
        <v>7362</v>
      </c>
    </row>
    <row r="367" spans="1:9" x14ac:dyDescent="0.25">
      <c r="A367" s="204" t="s">
        <v>434</v>
      </c>
      <c r="B367" s="9" t="str">
        <f t="shared" si="10"/>
        <v>13120112</v>
      </c>
      <c r="C367" s="9" t="str">
        <f>VLOOKUP(B367,COA!A:B,2,FALSE)</f>
        <v>BNYM Pass thru-IL - Penn Credit</v>
      </c>
      <c r="D367" s="338" t="str">
        <f t="shared" si="11"/>
        <v>C1312</v>
      </c>
      <c r="E367" s="338" t="s">
        <v>6885</v>
      </c>
      <c r="G367" s="338">
        <v>0</v>
      </c>
      <c r="H367" s="204" t="s">
        <v>77</v>
      </c>
      <c r="I367" s="204" t="s">
        <v>7362</v>
      </c>
    </row>
    <row r="368" spans="1:9" x14ac:dyDescent="0.25">
      <c r="A368" s="204" t="s">
        <v>435</v>
      </c>
      <c r="B368" s="9" t="str">
        <f t="shared" si="10"/>
        <v>13120113</v>
      </c>
      <c r="C368" s="9" t="str">
        <f>VLOOKUP(B368,COA!A:B,2,FALSE)</f>
        <v>BNYM Pass thru-IL - E-Return - Mellon</v>
      </c>
      <c r="D368" s="338" t="str">
        <f t="shared" si="11"/>
        <v>C1312</v>
      </c>
      <c r="E368" s="338" t="s">
        <v>6885</v>
      </c>
      <c r="G368" s="338">
        <v>0</v>
      </c>
      <c r="H368" s="204" t="s">
        <v>77</v>
      </c>
      <c r="I368" s="204" t="s">
        <v>7362</v>
      </c>
    </row>
    <row r="369" spans="1:9" x14ac:dyDescent="0.25">
      <c r="A369" s="204" t="s">
        <v>436</v>
      </c>
      <c r="B369" s="9" t="str">
        <f t="shared" si="10"/>
        <v>13120114</v>
      </c>
      <c r="C369" s="9" t="str">
        <f>VLOOKUP(B369,COA!A:B,2,FALSE)</f>
        <v>BNYM Pass thru-IL - E-Return - Online Rsrc Ck Conv</v>
      </c>
      <c r="D369" s="338" t="str">
        <f t="shared" si="11"/>
        <v>C1312</v>
      </c>
      <c r="E369" s="338" t="s">
        <v>6885</v>
      </c>
      <c r="G369" s="338">
        <v>0</v>
      </c>
      <c r="H369" s="204" t="s">
        <v>77</v>
      </c>
      <c r="I369" s="204" t="s">
        <v>7362</v>
      </c>
    </row>
    <row r="370" spans="1:9" x14ac:dyDescent="0.25">
      <c r="A370" s="204" t="s">
        <v>437</v>
      </c>
      <c r="B370" s="9" t="str">
        <f t="shared" si="10"/>
        <v>13120115</v>
      </c>
      <c r="C370" s="9" t="str">
        <f>VLOOKUP(B370,COA!A:B,2,FALSE)</f>
        <v>BNYM Pass thru-IL - Customer A/R Ck Conversion</v>
      </c>
      <c r="D370" s="338" t="str">
        <f t="shared" si="11"/>
        <v>C1312</v>
      </c>
      <c r="E370" s="338" t="s">
        <v>6885</v>
      </c>
      <c r="G370" s="338">
        <v>0</v>
      </c>
      <c r="H370" s="204" t="s">
        <v>77</v>
      </c>
      <c r="I370" s="204" t="s">
        <v>7362</v>
      </c>
    </row>
    <row r="371" spans="1:9" x14ac:dyDescent="0.25">
      <c r="A371" s="204" t="s">
        <v>438</v>
      </c>
      <c r="B371" s="9" t="str">
        <f t="shared" si="10"/>
        <v>13120116</v>
      </c>
      <c r="C371" s="9" t="str">
        <f>VLOOKUP(B371,COA!A:B,2,FALSE)</f>
        <v>BNYM Pass thru-IL - NSF Return Payments</v>
      </c>
      <c r="D371" s="338" t="str">
        <f t="shared" si="11"/>
        <v>C1312</v>
      </c>
      <c r="E371" s="338" t="s">
        <v>6885</v>
      </c>
      <c r="G371" s="338">
        <v>0</v>
      </c>
      <c r="H371" s="204" t="s">
        <v>77</v>
      </c>
      <c r="I371" s="204" t="s">
        <v>7362</v>
      </c>
    </row>
    <row r="372" spans="1:9" x14ac:dyDescent="0.25">
      <c r="A372" s="204" t="s">
        <v>439</v>
      </c>
      <c r="B372" s="9" t="str">
        <f t="shared" si="10"/>
        <v>13120117</v>
      </c>
      <c r="C372" s="9" t="str">
        <f>VLOOKUP(B372,COA!A:B,2,FALSE)</f>
        <v>BNYM Pass thru-IL - Misc Debits/Credits</v>
      </c>
      <c r="D372" s="338" t="str">
        <f t="shared" si="11"/>
        <v>C1312</v>
      </c>
      <c r="E372" s="338" t="s">
        <v>6885</v>
      </c>
      <c r="G372" s="338">
        <v>0</v>
      </c>
      <c r="H372" s="204" t="s">
        <v>77</v>
      </c>
      <c r="I372" s="204" t="s">
        <v>7362</v>
      </c>
    </row>
    <row r="373" spans="1:9" x14ac:dyDescent="0.25">
      <c r="A373" s="204" t="s">
        <v>440</v>
      </c>
      <c r="B373" s="9" t="str">
        <f t="shared" si="10"/>
        <v>13120200</v>
      </c>
      <c r="C373" s="9" t="str">
        <f>VLOOKUP(B373,COA!A:B,2,FALSE)</f>
        <v>BNYM Pass thru-NJ</v>
      </c>
      <c r="D373" s="338" t="str">
        <f t="shared" si="11"/>
        <v>C1312</v>
      </c>
      <c r="E373" s="338" t="s">
        <v>6885</v>
      </c>
      <c r="G373" s="338">
        <v>0</v>
      </c>
      <c r="H373" s="204" t="s">
        <v>77</v>
      </c>
      <c r="I373" s="204" t="s">
        <v>7362</v>
      </c>
    </row>
    <row r="374" spans="1:9" x14ac:dyDescent="0.25">
      <c r="A374" s="204" t="s">
        <v>441</v>
      </c>
      <c r="B374" s="9" t="str">
        <f t="shared" si="10"/>
        <v>13120201</v>
      </c>
      <c r="C374" s="9" t="str">
        <f>VLOOKUP(B374,COA!A:B,2,FALSE)</f>
        <v>BNYM Pass thru-NJ - Outbound Wire</v>
      </c>
      <c r="D374" s="338" t="str">
        <f t="shared" si="11"/>
        <v>C1312</v>
      </c>
      <c r="E374" s="338" t="s">
        <v>6885</v>
      </c>
      <c r="G374" s="338">
        <v>0</v>
      </c>
      <c r="H374" s="204" t="s">
        <v>77</v>
      </c>
      <c r="I374" s="204" t="s">
        <v>7362</v>
      </c>
    </row>
    <row r="375" spans="1:9" x14ac:dyDescent="0.25">
      <c r="A375" s="204" t="s">
        <v>442</v>
      </c>
      <c r="B375" s="9" t="str">
        <f t="shared" si="10"/>
        <v>13120204</v>
      </c>
      <c r="C375" s="9" t="str">
        <f>VLOOKUP(B375,COA!A:B,2,FALSE)</f>
        <v>BNYM Pass thru-NJ - Inbound Wires &amp; ACH</v>
      </c>
      <c r="D375" s="338" t="str">
        <f t="shared" si="11"/>
        <v>C1312</v>
      </c>
      <c r="E375" s="338" t="s">
        <v>6885</v>
      </c>
      <c r="G375" s="338">
        <v>0</v>
      </c>
      <c r="H375" s="204" t="s">
        <v>77</v>
      </c>
      <c r="I375" s="204" t="s">
        <v>7362</v>
      </c>
    </row>
    <row r="376" spans="1:9" x14ac:dyDescent="0.25">
      <c r="A376" s="204" t="s">
        <v>443</v>
      </c>
      <c r="B376" s="9" t="str">
        <f t="shared" si="10"/>
        <v>13120206</v>
      </c>
      <c r="C376" s="9" t="str">
        <f>VLOOKUP(B376,COA!A:B,2,FALSE)</f>
        <v>BNYM Pass thru-NJ - Customer Direct Debit</v>
      </c>
      <c r="D376" s="338" t="str">
        <f t="shared" si="11"/>
        <v>C1312</v>
      </c>
      <c r="E376" s="338" t="s">
        <v>6885</v>
      </c>
      <c r="G376" s="338">
        <v>0</v>
      </c>
      <c r="H376" s="204" t="s">
        <v>77</v>
      </c>
      <c r="I376" s="204" t="s">
        <v>7362</v>
      </c>
    </row>
    <row r="377" spans="1:9" x14ac:dyDescent="0.25">
      <c r="A377" s="204" t="s">
        <v>444</v>
      </c>
      <c r="B377" s="9" t="str">
        <f t="shared" si="10"/>
        <v>13120207</v>
      </c>
      <c r="C377" s="9" t="str">
        <f>VLOOKUP(B377,COA!A:B,2,FALSE)</f>
        <v>BNYM Pass thru-NJ - Customer ACH</v>
      </c>
      <c r="D377" s="338" t="str">
        <f t="shared" si="11"/>
        <v>C1312</v>
      </c>
      <c r="E377" s="338" t="s">
        <v>6885</v>
      </c>
      <c r="G377" s="338">
        <v>0</v>
      </c>
      <c r="H377" s="204" t="s">
        <v>77</v>
      </c>
      <c r="I377" s="204" t="s">
        <v>7362</v>
      </c>
    </row>
    <row r="378" spans="1:9" x14ac:dyDescent="0.25">
      <c r="A378" s="204" t="s">
        <v>445</v>
      </c>
      <c r="B378" s="9" t="str">
        <f t="shared" si="10"/>
        <v>13120208</v>
      </c>
      <c r="C378" s="9" t="str">
        <f>VLOOKUP(B378,COA!A:B,2,FALSE)</f>
        <v>BNYM Pass thru-NJ - Customer Lockbox</v>
      </c>
      <c r="D378" s="338" t="str">
        <f t="shared" si="11"/>
        <v>C1312</v>
      </c>
      <c r="E378" s="338" t="s">
        <v>6885</v>
      </c>
      <c r="G378" s="338">
        <v>0</v>
      </c>
      <c r="H378" s="204" t="s">
        <v>77</v>
      </c>
      <c r="I378" s="204" t="s">
        <v>7362</v>
      </c>
    </row>
    <row r="379" spans="1:9" x14ac:dyDescent="0.25">
      <c r="A379" s="204" t="s">
        <v>446</v>
      </c>
      <c r="B379" s="9" t="str">
        <f t="shared" si="10"/>
        <v>13120209</v>
      </c>
      <c r="C379" s="9" t="str">
        <f>VLOOKUP(B379,COA!A:B,2,FALSE)</f>
        <v>BNYM Pass thru-NJ - Online Resources Credit Corp</v>
      </c>
      <c r="D379" s="338" t="str">
        <f t="shared" si="11"/>
        <v>C1312</v>
      </c>
      <c r="E379" s="338" t="s">
        <v>6885</v>
      </c>
      <c r="G379" s="338">
        <v>0</v>
      </c>
      <c r="H379" s="204" t="s">
        <v>77</v>
      </c>
      <c r="I379" s="204" t="s">
        <v>7362</v>
      </c>
    </row>
    <row r="380" spans="1:9" x14ac:dyDescent="0.25">
      <c r="A380" s="204" t="s">
        <v>447</v>
      </c>
      <c r="B380" s="9" t="str">
        <f t="shared" si="10"/>
        <v>13120211</v>
      </c>
      <c r="C380" s="9" t="str">
        <f>VLOOKUP(B380,COA!A:B,2,FALSE)</f>
        <v>BNYM Pass thru-NJ - FiServ (fka CheckFree)</v>
      </c>
      <c r="D380" s="338" t="str">
        <f t="shared" si="11"/>
        <v>C1312</v>
      </c>
      <c r="E380" s="338" t="s">
        <v>6885</v>
      </c>
      <c r="G380" s="338">
        <v>0</v>
      </c>
      <c r="H380" s="204" t="s">
        <v>77</v>
      </c>
      <c r="I380" s="204" t="s">
        <v>7362</v>
      </c>
    </row>
    <row r="381" spans="1:9" x14ac:dyDescent="0.25">
      <c r="A381" s="204" t="s">
        <v>448</v>
      </c>
      <c r="B381" s="9" t="str">
        <f t="shared" si="10"/>
        <v>13120212</v>
      </c>
      <c r="C381" s="9" t="str">
        <f>VLOOKUP(B381,COA!A:B,2,FALSE)</f>
        <v>BNYM Pass thru-NJ - Penn Credit</v>
      </c>
      <c r="D381" s="338" t="str">
        <f t="shared" si="11"/>
        <v>C1312</v>
      </c>
      <c r="E381" s="338" t="s">
        <v>6885</v>
      </c>
      <c r="G381" s="338">
        <v>0</v>
      </c>
      <c r="H381" s="204" t="s">
        <v>77</v>
      </c>
      <c r="I381" s="204" t="s">
        <v>7362</v>
      </c>
    </row>
    <row r="382" spans="1:9" x14ac:dyDescent="0.25">
      <c r="A382" s="204" t="s">
        <v>449</v>
      </c>
      <c r="B382" s="9" t="str">
        <f t="shared" si="10"/>
        <v>13120213</v>
      </c>
      <c r="C382" s="9" t="str">
        <f>VLOOKUP(B382,COA!A:B,2,FALSE)</f>
        <v>BNYM Pass thru-NJ - E-Return - Mellon</v>
      </c>
      <c r="D382" s="338" t="str">
        <f t="shared" si="11"/>
        <v>C1312</v>
      </c>
      <c r="E382" s="338" t="s">
        <v>6885</v>
      </c>
      <c r="G382" s="338">
        <v>0</v>
      </c>
      <c r="H382" s="204" t="s">
        <v>77</v>
      </c>
      <c r="I382" s="204" t="s">
        <v>7362</v>
      </c>
    </row>
    <row r="383" spans="1:9" x14ac:dyDescent="0.25">
      <c r="A383" s="204" t="s">
        <v>450</v>
      </c>
      <c r="B383" s="9" t="str">
        <f t="shared" si="10"/>
        <v>13120214</v>
      </c>
      <c r="C383" s="9" t="str">
        <f>VLOOKUP(B383,COA!A:B,2,FALSE)</f>
        <v>BNYM Pass thru-NJ - E-Return - Online Rsrc Ck Conv</v>
      </c>
      <c r="D383" s="338" t="str">
        <f t="shared" si="11"/>
        <v>C1312</v>
      </c>
      <c r="E383" s="338" t="s">
        <v>6885</v>
      </c>
      <c r="G383" s="338">
        <v>0</v>
      </c>
      <c r="H383" s="204" t="s">
        <v>77</v>
      </c>
      <c r="I383" s="204" t="s">
        <v>7362</v>
      </c>
    </row>
    <row r="384" spans="1:9" x14ac:dyDescent="0.25">
      <c r="A384" s="204" t="s">
        <v>451</v>
      </c>
      <c r="B384" s="9" t="str">
        <f t="shared" si="10"/>
        <v>13120215</v>
      </c>
      <c r="C384" s="9" t="str">
        <f>VLOOKUP(B384,COA!A:B,2,FALSE)</f>
        <v>BNYM Pass thru-NJ - Customer A/R Ck Conversion</v>
      </c>
      <c r="D384" s="338" t="str">
        <f t="shared" si="11"/>
        <v>C1312</v>
      </c>
      <c r="E384" s="338" t="s">
        <v>6885</v>
      </c>
      <c r="G384" s="338">
        <v>0</v>
      </c>
      <c r="H384" s="204" t="s">
        <v>77</v>
      </c>
      <c r="I384" s="204" t="s">
        <v>7362</v>
      </c>
    </row>
    <row r="385" spans="1:9" x14ac:dyDescent="0.25">
      <c r="A385" s="204" t="s">
        <v>452</v>
      </c>
      <c r="B385" s="9" t="str">
        <f t="shared" si="10"/>
        <v>13120216</v>
      </c>
      <c r="C385" s="9" t="str">
        <f>VLOOKUP(B385,COA!A:B,2,FALSE)</f>
        <v>BNYM Pass thru-NJ - NSF Return Payments</v>
      </c>
      <c r="D385" s="338" t="str">
        <f t="shared" si="11"/>
        <v>C1312</v>
      </c>
      <c r="E385" s="338" t="s">
        <v>6885</v>
      </c>
      <c r="G385" s="338">
        <v>0</v>
      </c>
      <c r="H385" s="204" t="s">
        <v>77</v>
      </c>
      <c r="I385" s="204" t="s">
        <v>7362</v>
      </c>
    </row>
    <row r="386" spans="1:9" x14ac:dyDescent="0.25">
      <c r="A386" s="204" t="s">
        <v>453</v>
      </c>
      <c r="B386" s="9" t="str">
        <f t="shared" si="10"/>
        <v>13120217</v>
      </c>
      <c r="C386" s="9" t="str">
        <f>VLOOKUP(B386,COA!A:B,2,FALSE)</f>
        <v>BNYM Pass thru-NJ - Misc Debits/Credits</v>
      </c>
      <c r="D386" s="338" t="str">
        <f t="shared" si="11"/>
        <v>C1312</v>
      </c>
      <c r="E386" s="338" t="s">
        <v>6885</v>
      </c>
      <c r="G386" s="338">
        <v>0</v>
      </c>
      <c r="H386" s="204" t="s">
        <v>77</v>
      </c>
      <c r="I386" s="204" t="s">
        <v>7362</v>
      </c>
    </row>
    <row r="387" spans="1:9" x14ac:dyDescent="0.25">
      <c r="A387" s="204" t="s">
        <v>454</v>
      </c>
      <c r="B387" s="9" t="str">
        <f t="shared" si="10"/>
        <v>13120300</v>
      </c>
      <c r="C387" s="9" t="str">
        <f>VLOOKUP(B387,COA!A:B,2,FALSE)</f>
        <v>BNYM Pass thru-NE</v>
      </c>
      <c r="D387" s="338" t="str">
        <f t="shared" si="11"/>
        <v>C1312</v>
      </c>
      <c r="E387" s="338" t="s">
        <v>6885</v>
      </c>
      <c r="G387" s="338">
        <v>0</v>
      </c>
      <c r="H387" s="204" t="s">
        <v>77</v>
      </c>
      <c r="I387" s="204" t="s">
        <v>7362</v>
      </c>
    </row>
    <row r="388" spans="1:9" x14ac:dyDescent="0.25">
      <c r="A388" s="204" t="s">
        <v>455</v>
      </c>
      <c r="B388" s="9" t="str">
        <f t="shared" si="10"/>
        <v>13120301</v>
      </c>
      <c r="C388" s="9" t="str">
        <f>VLOOKUP(B388,COA!A:B,2,FALSE)</f>
        <v>BNYM Pass thru-NE - Outbound Wire</v>
      </c>
      <c r="D388" s="338" t="str">
        <f t="shared" si="11"/>
        <v>C1312</v>
      </c>
      <c r="E388" s="338" t="s">
        <v>6885</v>
      </c>
      <c r="G388" s="338">
        <v>0</v>
      </c>
      <c r="H388" s="204" t="s">
        <v>77</v>
      </c>
      <c r="I388" s="204" t="s">
        <v>7362</v>
      </c>
    </row>
    <row r="389" spans="1:9" x14ac:dyDescent="0.25">
      <c r="A389" s="204" t="s">
        <v>456</v>
      </c>
      <c r="B389" s="9" t="str">
        <f t="shared" si="10"/>
        <v>13120304</v>
      </c>
      <c r="C389" s="9" t="str">
        <f>VLOOKUP(B389,COA!A:B,2,FALSE)</f>
        <v>BNYM Pass thru-NE - Inbound Wires &amp; ACH</v>
      </c>
      <c r="D389" s="338" t="str">
        <f t="shared" si="11"/>
        <v>C1312</v>
      </c>
      <c r="E389" s="338" t="s">
        <v>6885</v>
      </c>
      <c r="G389" s="338">
        <v>0</v>
      </c>
      <c r="H389" s="204" t="s">
        <v>77</v>
      </c>
      <c r="I389" s="204" t="s">
        <v>7362</v>
      </c>
    </row>
    <row r="390" spans="1:9" x14ac:dyDescent="0.25">
      <c r="A390" s="204" t="s">
        <v>457</v>
      </c>
      <c r="B390" s="9" t="str">
        <f t="shared" si="10"/>
        <v>13120306</v>
      </c>
      <c r="C390" s="9" t="str">
        <f>VLOOKUP(B390,COA!A:B,2,FALSE)</f>
        <v>BNYM Pass thru-NE - Customer Direct Debit</v>
      </c>
      <c r="D390" s="338" t="str">
        <f t="shared" si="11"/>
        <v>C1312</v>
      </c>
      <c r="E390" s="338" t="s">
        <v>6885</v>
      </c>
      <c r="G390" s="338">
        <v>0</v>
      </c>
      <c r="H390" s="204" t="s">
        <v>77</v>
      </c>
      <c r="I390" s="204" t="s">
        <v>7362</v>
      </c>
    </row>
    <row r="391" spans="1:9" x14ac:dyDescent="0.25">
      <c r="A391" s="204" t="s">
        <v>458</v>
      </c>
      <c r="B391" s="9" t="str">
        <f t="shared" si="10"/>
        <v>13120307</v>
      </c>
      <c r="C391" s="9" t="str">
        <f>VLOOKUP(B391,COA!A:B,2,FALSE)</f>
        <v>BNYM Pass thru-NE - Customer ACH</v>
      </c>
      <c r="D391" s="338" t="str">
        <f t="shared" si="11"/>
        <v>C1312</v>
      </c>
      <c r="E391" s="338" t="s">
        <v>6885</v>
      </c>
      <c r="G391" s="338">
        <v>0</v>
      </c>
      <c r="H391" s="204" t="s">
        <v>77</v>
      </c>
      <c r="I391" s="204" t="s">
        <v>7362</v>
      </c>
    </row>
    <row r="392" spans="1:9" x14ac:dyDescent="0.25">
      <c r="A392" s="204" t="s">
        <v>459</v>
      </c>
      <c r="B392" s="9" t="str">
        <f t="shared" si="10"/>
        <v>13120308</v>
      </c>
      <c r="C392" s="9" t="str">
        <f>VLOOKUP(B392,COA!A:B,2,FALSE)</f>
        <v>BNYM Pass thru-NE - Customer Lockbox</v>
      </c>
      <c r="D392" s="338" t="str">
        <f t="shared" si="11"/>
        <v>C1312</v>
      </c>
      <c r="E392" s="338" t="s">
        <v>6885</v>
      </c>
      <c r="G392" s="338">
        <v>0</v>
      </c>
      <c r="H392" s="204" t="s">
        <v>77</v>
      </c>
      <c r="I392" s="204" t="s">
        <v>7362</v>
      </c>
    </row>
    <row r="393" spans="1:9" x14ac:dyDescent="0.25">
      <c r="A393" s="204" t="s">
        <v>460</v>
      </c>
      <c r="B393" s="9" t="str">
        <f t="shared" ref="B393:B456" si="12">RIGHT(A393,8)</f>
        <v>13120309</v>
      </c>
      <c r="C393" s="9" t="str">
        <f>VLOOKUP(B393,COA!A:B,2,FALSE)</f>
        <v>BNYM Pass thru-NE - Online Resources Credit Corp</v>
      </c>
      <c r="D393" s="338" t="str">
        <f t="shared" si="11"/>
        <v>C1312</v>
      </c>
      <c r="E393" s="338" t="s">
        <v>6885</v>
      </c>
      <c r="G393" s="338">
        <v>0</v>
      </c>
      <c r="H393" s="204" t="s">
        <v>77</v>
      </c>
      <c r="I393" s="204" t="s">
        <v>7362</v>
      </c>
    </row>
    <row r="394" spans="1:9" x14ac:dyDescent="0.25">
      <c r="A394" s="204" t="s">
        <v>461</v>
      </c>
      <c r="B394" s="9" t="str">
        <f t="shared" si="12"/>
        <v>13120310</v>
      </c>
      <c r="C394" s="9" t="str">
        <f>VLOOKUP(B394,COA!A:B,2,FALSE)</f>
        <v>BNYM Pass thru-NE - First Tech</v>
      </c>
      <c r="D394" s="338" t="str">
        <f t="shared" si="11"/>
        <v>C1312</v>
      </c>
      <c r="E394" s="338" t="s">
        <v>6885</v>
      </c>
      <c r="G394" s="338">
        <v>0</v>
      </c>
      <c r="H394" s="204" t="s">
        <v>77</v>
      </c>
      <c r="I394" s="204" t="s">
        <v>7362</v>
      </c>
    </row>
    <row r="395" spans="1:9" x14ac:dyDescent="0.25">
      <c r="A395" s="204" t="s">
        <v>462</v>
      </c>
      <c r="B395" s="9" t="str">
        <f t="shared" si="12"/>
        <v>13120311</v>
      </c>
      <c r="C395" s="9" t="str">
        <f>VLOOKUP(B395,COA!A:B,2,FALSE)</f>
        <v>BNYM Pass thru-NE - FiServ (fka CheckFree)</v>
      </c>
      <c r="D395" s="338" t="str">
        <f t="shared" ref="D395:D458" si="13">+I395</f>
        <v>C1312</v>
      </c>
      <c r="E395" s="338" t="s">
        <v>6885</v>
      </c>
      <c r="G395" s="338">
        <v>0</v>
      </c>
      <c r="H395" s="204" t="s">
        <v>77</v>
      </c>
      <c r="I395" s="204" t="s">
        <v>7362</v>
      </c>
    </row>
    <row r="396" spans="1:9" x14ac:dyDescent="0.25">
      <c r="A396" s="204" t="s">
        <v>463</v>
      </c>
      <c r="B396" s="9" t="str">
        <f t="shared" si="12"/>
        <v>13120312</v>
      </c>
      <c r="C396" s="9" t="str">
        <f>VLOOKUP(B396,COA!A:B,2,FALSE)</f>
        <v>BNYM Pass thru-NE - Penn Credit</v>
      </c>
      <c r="D396" s="338" t="str">
        <f t="shared" si="13"/>
        <v>C1312</v>
      </c>
      <c r="E396" s="338" t="s">
        <v>6885</v>
      </c>
      <c r="G396" s="338">
        <v>0</v>
      </c>
      <c r="H396" s="204" t="s">
        <v>77</v>
      </c>
      <c r="I396" s="204" t="s">
        <v>7362</v>
      </c>
    </row>
    <row r="397" spans="1:9" x14ac:dyDescent="0.25">
      <c r="A397" s="204" t="s">
        <v>464</v>
      </c>
      <c r="B397" s="9" t="str">
        <f t="shared" si="12"/>
        <v>13120313</v>
      </c>
      <c r="C397" s="9" t="str">
        <f>VLOOKUP(B397,COA!A:B,2,FALSE)</f>
        <v>BNYM Pass thru-NE - E-Return - Mellon</v>
      </c>
      <c r="D397" s="338" t="str">
        <f t="shared" si="13"/>
        <v>C1312</v>
      </c>
      <c r="E397" s="338" t="s">
        <v>6885</v>
      </c>
      <c r="G397" s="338">
        <v>0</v>
      </c>
      <c r="H397" s="204" t="s">
        <v>77</v>
      </c>
      <c r="I397" s="204" t="s">
        <v>7362</v>
      </c>
    </row>
    <row r="398" spans="1:9" x14ac:dyDescent="0.25">
      <c r="A398" s="204" t="s">
        <v>465</v>
      </c>
      <c r="B398" s="9" t="str">
        <f t="shared" si="12"/>
        <v>13120314</v>
      </c>
      <c r="C398" s="9" t="str">
        <f>VLOOKUP(B398,COA!A:B,2,FALSE)</f>
        <v>BNYM Pass thru-NE - E-Return - Online Rsrc Ck Conv</v>
      </c>
      <c r="D398" s="338" t="str">
        <f t="shared" si="13"/>
        <v>C1312</v>
      </c>
      <c r="E398" s="338" t="s">
        <v>6885</v>
      </c>
      <c r="G398" s="338">
        <v>0</v>
      </c>
      <c r="H398" s="204" t="s">
        <v>77</v>
      </c>
      <c r="I398" s="204" t="s">
        <v>7362</v>
      </c>
    </row>
    <row r="399" spans="1:9" x14ac:dyDescent="0.25">
      <c r="A399" s="204" t="s">
        <v>466</v>
      </c>
      <c r="B399" s="9" t="str">
        <f t="shared" si="12"/>
        <v>13120315</v>
      </c>
      <c r="C399" s="9" t="str">
        <f>VLOOKUP(B399,COA!A:B,2,FALSE)</f>
        <v>BNYM Pass thru-NE - Customer A/R Ck Conversion</v>
      </c>
      <c r="D399" s="338" t="str">
        <f t="shared" si="13"/>
        <v>C1312</v>
      </c>
      <c r="E399" s="338" t="s">
        <v>6885</v>
      </c>
      <c r="G399" s="338">
        <v>0</v>
      </c>
      <c r="H399" s="204" t="s">
        <v>77</v>
      </c>
      <c r="I399" s="204" t="s">
        <v>7362</v>
      </c>
    </row>
    <row r="400" spans="1:9" x14ac:dyDescent="0.25">
      <c r="A400" s="204" t="s">
        <v>467</v>
      </c>
      <c r="B400" s="9" t="str">
        <f t="shared" si="12"/>
        <v>13120316</v>
      </c>
      <c r="C400" s="9" t="str">
        <f>VLOOKUP(B400,COA!A:B,2,FALSE)</f>
        <v>BNYM Pass thru-NE - NSF Return Payments</v>
      </c>
      <c r="D400" s="338" t="str">
        <f t="shared" si="13"/>
        <v>C1312</v>
      </c>
      <c r="E400" s="338" t="s">
        <v>6885</v>
      </c>
      <c r="G400" s="338">
        <v>0</v>
      </c>
      <c r="H400" s="204" t="s">
        <v>77</v>
      </c>
      <c r="I400" s="204" t="s">
        <v>7362</v>
      </c>
    </row>
    <row r="401" spans="1:9" x14ac:dyDescent="0.25">
      <c r="A401" s="204" t="s">
        <v>468</v>
      </c>
      <c r="B401" s="9" t="str">
        <f t="shared" si="12"/>
        <v>13120317</v>
      </c>
      <c r="C401" s="9" t="str">
        <f>VLOOKUP(B401,COA!A:B,2,FALSE)</f>
        <v>BNYM Pass thru-NE - Misc Debits/Credits</v>
      </c>
      <c r="D401" s="338" t="str">
        <f t="shared" si="13"/>
        <v>C1312</v>
      </c>
      <c r="E401" s="338" t="s">
        <v>6885</v>
      </c>
      <c r="G401" s="338">
        <v>0</v>
      </c>
      <c r="H401" s="204" t="s">
        <v>77</v>
      </c>
      <c r="I401" s="204" t="s">
        <v>7362</v>
      </c>
    </row>
    <row r="402" spans="1:9" x14ac:dyDescent="0.25">
      <c r="A402" s="204" t="s">
        <v>469</v>
      </c>
      <c r="B402" s="9" t="str">
        <f t="shared" si="12"/>
        <v>13120400</v>
      </c>
      <c r="C402" s="9" t="str">
        <f>VLOOKUP(B402,COA!A:B,2,FALSE)</f>
        <v>BNYM Pass thru-CA</v>
      </c>
      <c r="D402" s="338" t="str">
        <f t="shared" si="13"/>
        <v>C1312</v>
      </c>
      <c r="E402" s="338" t="s">
        <v>6885</v>
      </c>
      <c r="G402" s="338">
        <v>0</v>
      </c>
      <c r="H402" s="204" t="s">
        <v>77</v>
      </c>
      <c r="I402" s="204" t="s">
        <v>7362</v>
      </c>
    </row>
    <row r="403" spans="1:9" x14ac:dyDescent="0.25">
      <c r="A403" s="204" t="s">
        <v>470</v>
      </c>
      <c r="B403" s="9" t="str">
        <f t="shared" si="12"/>
        <v>13120401</v>
      </c>
      <c r="C403" s="9" t="str">
        <f>VLOOKUP(B403,COA!A:B,2,FALSE)</f>
        <v>BNYM Pass thru-CA - Outbound Wire</v>
      </c>
      <c r="D403" s="338" t="str">
        <f t="shared" si="13"/>
        <v>C1312</v>
      </c>
      <c r="E403" s="338" t="s">
        <v>6885</v>
      </c>
      <c r="G403" s="338">
        <v>0</v>
      </c>
      <c r="H403" s="204" t="s">
        <v>77</v>
      </c>
      <c r="I403" s="204" t="s">
        <v>7362</v>
      </c>
    </row>
    <row r="404" spans="1:9" x14ac:dyDescent="0.25">
      <c r="A404" s="204" t="s">
        <v>471</v>
      </c>
      <c r="B404" s="9" t="str">
        <f t="shared" si="12"/>
        <v>13120404</v>
      </c>
      <c r="C404" s="9" t="str">
        <f>VLOOKUP(B404,COA!A:B,2,FALSE)</f>
        <v>BNYM Pass thru-CA - Inbound Wires &amp; ACH</v>
      </c>
      <c r="D404" s="338" t="str">
        <f t="shared" si="13"/>
        <v>C1312</v>
      </c>
      <c r="E404" s="338" t="s">
        <v>6885</v>
      </c>
      <c r="G404" s="338">
        <v>0</v>
      </c>
      <c r="H404" s="204" t="s">
        <v>77</v>
      </c>
      <c r="I404" s="204" t="s">
        <v>7362</v>
      </c>
    </row>
    <row r="405" spans="1:9" x14ac:dyDescent="0.25">
      <c r="A405" s="204" t="s">
        <v>472</v>
      </c>
      <c r="B405" s="9" t="str">
        <f t="shared" si="12"/>
        <v>13120406</v>
      </c>
      <c r="C405" s="9" t="str">
        <f>VLOOKUP(B405,COA!A:B,2,FALSE)</f>
        <v>BNYM Pass thru-CA - Customer Direct Debit</v>
      </c>
      <c r="D405" s="338" t="str">
        <f t="shared" si="13"/>
        <v>C1312</v>
      </c>
      <c r="E405" s="338" t="s">
        <v>6885</v>
      </c>
      <c r="G405" s="338">
        <v>0</v>
      </c>
      <c r="H405" s="204" t="s">
        <v>77</v>
      </c>
      <c r="I405" s="204" t="s">
        <v>7362</v>
      </c>
    </row>
    <row r="406" spans="1:9" x14ac:dyDescent="0.25">
      <c r="A406" s="204" t="s">
        <v>473</v>
      </c>
      <c r="B406" s="9" t="str">
        <f t="shared" si="12"/>
        <v>13120407</v>
      </c>
      <c r="C406" s="9" t="str">
        <f>VLOOKUP(B406,COA!A:B,2,FALSE)</f>
        <v>BNYM Pass thru-CA - Customer ACH</v>
      </c>
      <c r="D406" s="338" t="str">
        <f t="shared" si="13"/>
        <v>C1312</v>
      </c>
      <c r="E406" s="338" t="s">
        <v>6885</v>
      </c>
      <c r="G406" s="338">
        <v>0</v>
      </c>
      <c r="H406" s="204" t="s">
        <v>77</v>
      </c>
      <c r="I406" s="204" t="s">
        <v>7362</v>
      </c>
    </row>
    <row r="407" spans="1:9" x14ac:dyDescent="0.25">
      <c r="A407" s="204" t="s">
        <v>474</v>
      </c>
      <c r="B407" s="9" t="str">
        <f t="shared" si="12"/>
        <v>13120408</v>
      </c>
      <c r="C407" s="9" t="str">
        <f>VLOOKUP(B407,COA!A:B,2,FALSE)</f>
        <v>BNYM Pass thru-CA - Customer Lockbox</v>
      </c>
      <c r="D407" s="338" t="str">
        <f t="shared" si="13"/>
        <v>C1312</v>
      </c>
      <c r="E407" s="338" t="s">
        <v>6885</v>
      </c>
      <c r="G407" s="338">
        <v>0</v>
      </c>
      <c r="H407" s="204" t="s">
        <v>77</v>
      </c>
      <c r="I407" s="204" t="s">
        <v>7362</v>
      </c>
    </row>
    <row r="408" spans="1:9" x14ac:dyDescent="0.25">
      <c r="A408" s="204" t="s">
        <v>475</v>
      </c>
      <c r="B408" s="9" t="str">
        <f t="shared" si="12"/>
        <v>13120409</v>
      </c>
      <c r="C408" s="9" t="str">
        <f>VLOOKUP(B408,COA!A:B,2,FALSE)</f>
        <v>BNYM Pass thru-CA - Online Resources Credit Corp</v>
      </c>
      <c r="D408" s="338" t="str">
        <f t="shared" si="13"/>
        <v>C1312</v>
      </c>
      <c r="E408" s="338" t="s">
        <v>6885</v>
      </c>
      <c r="G408" s="338">
        <v>0</v>
      </c>
      <c r="H408" s="204" t="s">
        <v>77</v>
      </c>
      <c r="I408" s="204" t="s">
        <v>7362</v>
      </c>
    </row>
    <row r="409" spans="1:9" x14ac:dyDescent="0.25">
      <c r="A409" s="204" t="s">
        <v>476</v>
      </c>
      <c r="B409" s="9" t="str">
        <f t="shared" si="12"/>
        <v>13120411</v>
      </c>
      <c r="C409" s="9" t="str">
        <f>VLOOKUP(B409,COA!A:B,2,FALSE)</f>
        <v>BNYM Pass thru-CA - FiServ (fka CheckFree)</v>
      </c>
      <c r="D409" s="338" t="str">
        <f t="shared" si="13"/>
        <v>C1312</v>
      </c>
      <c r="E409" s="338" t="s">
        <v>6885</v>
      </c>
      <c r="G409" s="338">
        <v>0</v>
      </c>
      <c r="H409" s="204" t="s">
        <v>77</v>
      </c>
      <c r="I409" s="204" t="s">
        <v>7362</v>
      </c>
    </row>
    <row r="410" spans="1:9" x14ac:dyDescent="0.25">
      <c r="A410" s="204" t="s">
        <v>477</v>
      </c>
      <c r="B410" s="9" t="str">
        <f t="shared" si="12"/>
        <v>13120412</v>
      </c>
      <c r="C410" s="9" t="str">
        <f>VLOOKUP(B410,COA!A:B,2,FALSE)</f>
        <v>BNYM Pass thru-CA - Penn Credit</v>
      </c>
      <c r="D410" s="338" t="str">
        <f t="shared" si="13"/>
        <v>C1312</v>
      </c>
      <c r="E410" s="338" t="s">
        <v>6885</v>
      </c>
      <c r="G410" s="338">
        <v>0</v>
      </c>
      <c r="H410" s="204" t="s">
        <v>77</v>
      </c>
      <c r="I410" s="204" t="s">
        <v>7362</v>
      </c>
    </row>
    <row r="411" spans="1:9" x14ac:dyDescent="0.25">
      <c r="A411" s="204" t="s">
        <v>478</v>
      </c>
      <c r="B411" s="9" t="str">
        <f t="shared" si="12"/>
        <v>13120413</v>
      </c>
      <c r="C411" s="9" t="str">
        <f>VLOOKUP(B411,COA!A:B,2,FALSE)</f>
        <v>BNYM Pass thru-CA - E-Return - Mellon</v>
      </c>
      <c r="D411" s="338" t="str">
        <f t="shared" si="13"/>
        <v>C1312</v>
      </c>
      <c r="E411" s="338" t="s">
        <v>6885</v>
      </c>
      <c r="G411" s="338">
        <v>0</v>
      </c>
      <c r="H411" s="204" t="s">
        <v>77</v>
      </c>
      <c r="I411" s="204" t="s">
        <v>7362</v>
      </c>
    </row>
    <row r="412" spans="1:9" x14ac:dyDescent="0.25">
      <c r="A412" s="204" t="s">
        <v>479</v>
      </c>
      <c r="B412" s="9" t="str">
        <f t="shared" si="12"/>
        <v>13120414</v>
      </c>
      <c r="C412" s="9" t="str">
        <f>VLOOKUP(B412,COA!A:B,2,FALSE)</f>
        <v>BNYM Pass thru-CA - E-Return - Online Rsrc Ck Conv</v>
      </c>
      <c r="D412" s="338" t="str">
        <f t="shared" si="13"/>
        <v>C1312</v>
      </c>
      <c r="E412" s="338" t="s">
        <v>6885</v>
      </c>
      <c r="G412" s="338">
        <v>0</v>
      </c>
      <c r="H412" s="204" t="s">
        <v>77</v>
      </c>
      <c r="I412" s="204" t="s">
        <v>7362</v>
      </c>
    </row>
    <row r="413" spans="1:9" x14ac:dyDescent="0.25">
      <c r="A413" s="204" t="s">
        <v>480</v>
      </c>
      <c r="B413" s="9" t="str">
        <f t="shared" si="12"/>
        <v>13120415</v>
      </c>
      <c r="C413" s="9" t="str">
        <f>VLOOKUP(B413,COA!A:B,2,FALSE)</f>
        <v>BNYM Pass thru-CA - Customer A/R Ck Conversion</v>
      </c>
      <c r="D413" s="338" t="str">
        <f t="shared" si="13"/>
        <v>C1312</v>
      </c>
      <c r="E413" s="338" t="s">
        <v>6885</v>
      </c>
      <c r="G413" s="338">
        <v>0</v>
      </c>
      <c r="H413" s="204" t="s">
        <v>77</v>
      </c>
      <c r="I413" s="204" t="s">
        <v>7362</v>
      </c>
    </row>
    <row r="414" spans="1:9" x14ac:dyDescent="0.25">
      <c r="A414" s="204" t="s">
        <v>481</v>
      </c>
      <c r="B414" s="9" t="str">
        <f t="shared" si="12"/>
        <v>13120416</v>
      </c>
      <c r="C414" s="9" t="str">
        <f>VLOOKUP(B414,COA!A:B,2,FALSE)</f>
        <v>BNYM Pass thru-CA - NSF Return Payments</v>
      </c>
      <c r="D414" s="338" t="str">
        <f t="shared" si="13"/>
        <v>C1312</v>
      </c>
      <c r="E414" s="338" t="s">
        <v>6885</v>
      </c>
      <c r="G414" s="338">
        <v>0</v>
      </c>
      <c r="H414" s="204" t="s">
        <v>77</v>
      </c>
      <c r="I414" s="204" t="s">
        <v>7362</v>
      </c>
    </row>
    <row r="415" spans="1:9" x14ac:dyDescent="0.25">
      <c r="A415" s="204" t="s">
        <v>482</v>
      </c>
      <c r="B415" s="9" t="str">
        <f t="shared" si="12"/>
        <v>13120417</v>
      </c>
      <c r="C415" s="9" t="str">
        <f>VLOOKUP(B415,COA!A:B,2,FALSE)</f>
        <v>BNYM Pass thru-CA - Misc Debits/Credits</v>
      </c>
      <c r="D415" s="338" t="str">
        <f t="shared" si="13"/>
        <v>C1312</v>
      </c>
      <c r="E415" s="338" t="s">
        <v>6885</v>
      </c>
      <c r="G415" s="338">
        <v>0</v>
      </c>
      <c r="H415" s="204" t="s">
        <v>77</v>
      </c>
      <c r="I415" s="204" t="s">
        <v>7362</v>
      </c>
    </row>
    <row r="416" spans="1:9" x14ac:dyDescent="0.25">
      <c r="A416" s="204" t="s">
        <v>483</v>
      </c>
      <c r="B416" s="9" t="str">
        <f t="shared" si="12"/>
        <v>13121000</v>
      </c>
      <c r="C416" s="9" t="str">
        <f>VLOOKUP(B416,COA!A:B,2,FALSE)</f>
        <v>BNYM IN</v>
      </c>
      <c r="D416" s="338" t="str">
        <f t="shared" si="13"/>
        <v>C1312</v>
      </c>
      <c r="E416" s="338" t="s">
        <v>6885</v>
      </c>
      <c r="G416" s="338">
        <v>0</v>
      </c>
      <c r="H416" s="204" t="s">
        <v>77</v>
      </c>
      <c r="I416" s="204" t="s">
        <v>7362</v>
      </c>
    </row>
    <row r="417" spans="1:9" x14ac:dyDescent="0.25">
      <c r="A417" s="204" t="s">
        <v>484</v>
      </c>
      <c r="B417" s="9" t="str">
        <f t="shared" si="12"/>
        <v>13121001</v>
      </c>
      <c r="C417" s="9" t="str">
        <f>VLOOKUP(B417,COA!A:B,2,FALSE)</f>
        <v>BNYM IN - Outbound Wire</v>
      </c>
      <c r="D417" s="338" t="str">
        <f t="shared" si="13"/>
        <v>C1312</v>
      </c>
      <c r="E417" s="338" t="s">
        <v>6885</v>
      </c>
      <c r="G417" s="338">
        <v>0</v>
      </c>
      <c r="H417" s="204" t="s">
        <v>77</v>
      </c>
      <c r="I417" s="204" t="s">
        <v>7362</v>
      </c>
    </row>
    <row r="418" spans="1:9" x14ac:dyDescent="0.25">
      <c r="A418" s="204" t="s">
        <v>485</v>
      </c>
      <c r="B418" s="9" t="str">
        <f t="shared" si="12"/>
        <v>13121004</v>
      </c>
      <c r="C418" s="9" t="str">
        <f>VLOOKUP(B418,COA!A:B,2,FALSE)</f>
        <v>BNYM IN - Inbound Wires &amp; ACH</v>
      </c>
      <c r="D418" s="338" t="str">
        <f t="shared" si="13"/>
        <v>C1312</v>
      </c>
      <c r="E418" s="338" t="s">
        <v>6885</v>
      </c>
      <c r="G418" s="338">
        <v>0</v>
      </c>
      <c r="H418" s="204" t="s">
        <v>77</v>
      </c>
      <c r="I418" s="204" t="s">
        <v>7362</v>
      </c>
    </row>
    <row r="419" spans="1:9" x14ac:dyDescent="0.25">
      <c r="A419" s="204" t="s">
        <v>486</v>
      </c>
      <c r="B419" s="9" t="str">
        <f t="shared" si="12"/>
        <v>13121006</v>
      </c>
      <c r="C419" s="9" t="str">
        <f>VLOOKUP(B419,COA!A:B,2,FALSE)</f>
        <v>BNYM IN - Customer Direct Debit</v>
      </c>
      <c r="D419" s="338" t="str">
        <f t="shared" si="13"/>
        <v>C1312</v>
      </c>
      <c r="E419" s="338" t="s">
        <v>6885</v>
      </c>
      <c r="G419" s="338">
        <v>0</v>
      </c>
      <c r="H419" s="204" t="s">
        <v>77</v>
      </c>
      <c r="I419" s="204" t="s">
        <v>7362</v>
      </c>
    </row>
    <row r="420" spans="1:9" x14ac:dyDescent="0.25">
      <c r="A420" s="204" t="s">
        <v>487</v>
      </c>
      <c r="B420" s="9" t="str">
        <f t="shared" si="12"/>
        <v>13121007</v>
      </c>
      <c r="C420" s="9" t="str">
        <f>VLOOKUP(B420,COA!A:B,2,FALSE)</f>
        <v>BNYM IN - Customer ACH</v>
      </c>
      <c r="D420" s="338" t="str">
        <f t="shared" si="13"/>
        <v>C1312</v>
      </c>
      <c r="E420" s="338" t="s">
        <v>6885</v>
      </c>
      <c r="G420" s="338">
        <v>0</v>
      </c>
      <c r="H420" s="204" t="s">
        <v>77</v>
      </c>
      <c r="I420" s="204" t="s">
        <v>7362</v>
      </c>
    </row>
    <row r="421" spans="1:9" x14ac:dyDescent="0.25">
      <c r="A421" s="204" t="s">
        <v>488</v>
      </c>
      <c r="B421" s="9" t="str">
        <f t="shared" si="12"/>
        <v>13121008</v>
      </c>
      <c r="C421" s="9" t="str">
        <f>VLOOKUP(B421,COA!A:B,2,FALSE)</f>
        <v>BNYM IN - Customer Lockbox</v>
      </c>
      <c r="D421" s="338" t="str">
        <f t="shared" si="13"/>
        <v>C1312</v>
      </c>
      <c r="E421" s="338" t="s">
        <v>6885</v>
      </c>
      <c r="G421" s="338">
        <v>0</v>
      </c>
      <c r="H421" s="204" t="s">
        <v>77</v>
      </c>
      <c r="I421" s="204" t="s">
        <v>7362</v>
      </c>
    </row>
    <row r="422" spans="1:9" x14ac:dyDescent="0.25">
      <c r="A422" s="204" t="s">
        <v>489</v>
      </c>
      <c r="B422" s="9" t="str">
        <f t="shared" si="12"/>
        <v>13121009</v>
      </c>
      <c r="C422" s="9" t="str">
        <f>VLOOKUP(B422,COA!A:B,2,FALSE)</f>
        <v>BNYM IN - Credit Card and E-Checks</v>
      </c>
      <c r="D422" s="338" t="str">
        <f t="shared" si="13"/>
        <v>C1312</v>
      </c>
      <c r="E422" s="338" t="s">
        <v>6885</v>
      </c>
      <c r="G422" s="338">
        <v>0</v>
      </c>
      <c r="H422" s="204" t="s">
        <v>77</v>
      </c>
      <c r="I422" s="204" t="s">
        <v>7362</v>
      </c>
    </row>
    <row r="423" spans="1:9" x14ac:dyDescent="0.25">
      <c r="A423" s="204" t="s">
        <v>490</v>
      </c>
      <c r="B423" s="9" t="str">
        <f t="shared" si="12"/>
        <v>13121010</v>
      </c>
      <c r="C423" s="9" t="str">
        <f>VLOOKUP(B423,COA!A:B,2,FALSE)</f>
        <v>BNYM IN - First Tech</v>
      </c>
      <c r="D423" s="338" t="str">
        <f t="shared" si="13"/>
        <v>C1312</v>
      </c>
      <c r="E423" s="338" t="s">
        <v>6885</v>
      </c>
      <c r="G423" s="338">
        <v>0</v>
      </c>
      <c r="H423" s="204" t="s">
        <v>77</v>
      </c>
      <c r="I423" s="204" t="s">
        <v>7362</v>
      </c>
    </row>
    <row r="424" spans="1:9" x14ac:dyDescent="0.25">
      <c r="A424" s="204" t="s">
        <v>491</v>
      </c>
      <c r="B424" s="9" t="str">
        <f t="shared" si="12"/>
        <v>13121012</v>
      </c>
      <c r="C424" s="9" t="str">
        <f>VLOOKUP(B424,COA!A:B,2,FALSE)</f>
        <v>BNYM IN - Penn Credit - 3rd Party Collections</v>
      </c>
      <c r="D424" s="338" t="str">
        <f t="shared" si="13"/>
        <v>C1312</v>
      </c>
      <c r="E424" s="338" t="s">
        <v>6885</v>
      </c>
      <c r="G424" s="338">
        <v>0</v>
      </c>
      <c r="H424" s="204" t="s">
        <v>77</v>
      </c>
      <c r="I424" s="204" t="s">
        <v>7362</v>
      </c>
    </row>
    <row r="425" spans="1:9" x14ac:dyDescent="0.25">
      <c r="A425" s="204" t="s">
        <v>492</v>
      </c>
      <c r="B425" s="9" t="str">
        <f t="shared" si="12"/>
        <v>13121013</v>
      </c>
      <c r="C425" s="9" t="str">
        <f>VLOOKUP(B425,COA!A:B,2,FALSE)</f>
        <v>BNYM IN - E-Return - Mellon</v>
      </c>
      <c r="D425" s="338" t="str">
        <f t="shared" si="13"/>
        <v>C1312</v>
      </c>
      <c r="E425" s="338" t="s">
        <v>6885</v>
      </c>
      <c r="G425" s="338">
        <v>0</v>
      </c>
      <c r="H425" s="204" t="s">
        <v>77</v>
      </c>
      <c r="I425" s="204" t="s">
        <v>7362</v>
      </c>
    </row>
    <row r="426" spans="1:9" x14ac:dyDescent="0.25">
      <c r="A426" s="204" t="s">
        <v>493</v>
      </c>
      <c r="B426" s="9" t="str">
        <f t="shared" si="12"/>
        <v>13121014</v>
      </c>
      <c r="C426" s="9" t="str">
        <f>VLOOKUP(B426,COA!A:B,2,FALSE)</f>
        <v>BNYM IN -Credit Card &amp; Echeck E-Returns</v>
      </c>
      <c r="D426" s="338" t="str">
        <f t="shared" si="13"/>
        <v>C1312</v>
      </c>
      <c r="E426" s="338" t="s">
        <v>6885</v>
      </c>
      <c r="G426" s="338">
        <v>0</v>
      </c>
      <c r="H426" s="204" t="s">
        <v>77</v>
      </c>
      <c r="I426" s="204" t="s">
        <v>7362</v>
      </c>
    </row>
    <row r="427" spans="1:9" x14ac:dyDescent="0.25">
      <c r="A427" s="204" t="s">
        <v>494</v>
      </c>
      <c r="B427" s="9" t="str">
        <f t="shared" si="12"/>
        <v>13121015</v>
      </c>
      <c r="C427" s="9" t="str">
        <f>VLOOKUP(B427,COA!A:B,2,FALSE)</f>
        <v>BNYM IN - Customer A/R Ck Conversion</v>
      </c>
      <c r="D427" s="338" t="str">
        <f t="shared" si="13"/>
        <v>C1312</v>
      </c>
      <c r="E427" s="338" t="s">
        <v>6885</v>
      </c>
      <c r="G427" s="338">
        <v>0</v>
      </c>
      <c r="H427" s="204" t="s">
        <v>77</v>
      </c>
      <c r="I427" s="204" t="s">
        <v>7362</v>
      </c>
    </row>
    <row r="428" spans="1:9" x14ac:dyDescent="0.25">
      <c r="A428" s="204" t="s">
        <v>495</v>
      </c>
      <c r="B428" s="9" t="str">
        <f t="shared" si="12"/>
        <v>13121016</v>
      </c>
      <c r="C428" s="9" t="str">
        <f>VLOOKUP(B428,COA!A:B,2,FALSE)</f>
        <v>BNYM IN - NSF Return Payments</v>
      </c>
      <c r="D428" s="338" t="str">
        <f t="shared" si="13"/>
        <v>C1312</v>
      </c>
      <c r="E428" s="338" t="s">
        <v>6885</v>
      </c>
      <c r="G428" s="338">
        <v>0</v>
      </c>
      <c r="H428" s="204" t="s">
        <v>77</v>
      </c>
      <c r="I428" s="204" t="s">
        <v>7362</v>
      </c>
    </row>
    <row r="429" spans="1:9" x14ac:dyDescent="0.25">
      <c r="A429" s="204" t="s">
        <v>496</v>
      </c>
      <c r="B429" s="9" t="str">
        <f t="shared" si="12"/>
        <v>13121017</v>
      </c>
      <c r="C429" s="9" t="str">
        <f>VLOOKUP(B429,COA!A:B,2,FALSE)</f>
        <v>BNYM IN - Misc Debits/Credits</v>
      </c>
      <c r="D429" s="338" t="str">
        <f t="shared" si="13"/>
        <v>C1312</v>
      </c>
      <c r="E429" s="338" t="s">
        <v>6885</v>
      </c>
      <c r="G429" s="338">
        <v>0</v>
      </c>
      <c r="H429" s="204" t="s">
        <v>77</v>
      </c>
      <c r="I429" s="204" t="s">
        <v>7362</v>
      </c>
    </row>
    <row r="430" spans="1:9" x14ac:dyDescent="0.25">
      <c r="A430" s="204" t="s">
        <v>497</v>
      </c>
      <c r="B430" s="9" t="str">
        <f t="shared" si="12"/>
        <v>13121018</v>
      </c>
      <c r="C430" s="9" t="str">
        <f>VLOOKUP(B430,COA!A:B,2,FALSE)</f>
        <v>BNYM IN - Client Services - 3rd Party Collections</v>
      </c>
      <c r="D430" s="338" t="str">
        <f t="shared" si="13"/>
        <v>C1312</v>
      </c>
      <c r="E430" s="338" t="s">
        <v>6885</v>
      </c>
      <c r="G430" s="338">
        <v>0</v>
      </c>
      <c r="H430" s="204" t="s">
        <v>77</v>
      </c>
      <c r="I430" s="204" t="s">
        <v>7362</v>
      </c>
    </row>
    <row r="431" spans="1:9" x14ac:dyDescent="0.25">
      <c r="A431" s="204" t="s">
        <v>498</v>
      </c>
      <c r="B431" s="9" t="str">
        <f t="shared" si="12"/>
        <v>13121100</v>
      </c>
      <c r="C431" s="9" t="str">
        <f>VLOOKUP(B431,COA!A:B,2,FALSE)</f>
        <v>BNYM IA</v>
      </c>
      <c r="D431" s="338" t="str">
        <f t="shared" si="13"/>
        <v>C1312</v>
      </c>
      <c r="E431" s="338" t="s">
        <v>6885</v>
      </c>
      <c r="G431" s="338">
        <v>0</v>
      </c>
      <c r="H431" s="204" t="s">
        <v>77</v>
      </c>
      <c r="I431" s="204" t="s">
        <v>7362</v>
      </c>
    </row>
    <row r="432" spans="1:9" x14ac:dyDescent="0.25">
      <c r="A432" s="204" t="s">
        <v>499</v>
      </c>
      <c r="B432" s="9" t="str">
        <f t="shared" si="12"/>
        <v>13121101</v>
      </c>
      <c r="C432" s="9" t="str">
        <f>VLOOKUP(B432,COA!A:B,2,FALSE)</f>
        <v>BNYM IA - Outbound Wire</v>
      </c>
      <c r="D432" s="338" t="str">
        <f t="shared" si="13"/>
        <v>C1312</v>
      </c>
      <c r="E432" s="338" t="s">
        <v>6885</v>
      </c>
      <c r="G432" s="338">
        <v>0</v>
      </c>
      <c r="H432" s="204" t="s">
        <v>77</v>
      </c>
      <c r="I432" s="204" t="s">
        <v>7362</v>
      </c>
    </row>
    <row r="433" spans="1:9" x14ac:dyDescent="0.25">
      <c r="A433" s="204" t="s">
        <v>500</v>
      </c>
      <c r="B433" s="9" t="str">
        <f t="shared" si="12"/>
        <v>13121104</v>
      </c>
      <c r="C433" s="9" t="str">
        <f>VLOOKUP(B433,COA!A:B,2,FALSE)</f>
        <v>BNYM IA - Inbound Wires &amp; ACH</v>
      </c>
      <c r="D433" s="338" t="str">
        <f t="shared" si="13"/>
        <v>C1312</v>
      </c>
      <c r="E433" s="338" t="s">
        <v>6885</v>
      </c>
      <c r="G433" s="338">
        <v>0</v>
      </c>
      <c r="H433" s="204" t="s">
        <v>77</v>
      </c>
      <c r="I433" s="204" t="s">
        <v>7362</v>
      </c>
    </row>
    <row r="434" spans="1:9" x14ac:dyDescent="0.25">
      <c r="A434" s="204" t="s">
        <v>501</v>
      </c>
      <c r="B434" s="9" t="str">
        <f t="shared" si="12"/>
        <v>13121106</v>
      </c>
      <c r="C434" s="9" t="str">
        <f>VLOOKUP(B434,COA!A:B,2,FALSE)</f>
        <v>BNYM IA - Customer Direct Debit</v>
      </c>
      <c r="D434" s="338" t="str">
        <f t="shared" si="13"/>
        <v>C1312</v>
      </c>
      <c r="E434" s="338" t="s">
        <v>6885</v>
      </c>
      <c r="G434" s="338">
        <v>0</v>
      </c>
      <c r="H434" s="204" t="s">
        <v>77</v>
      </c>
      <c r="I434" s="204" t="s">
        <v>7362</v>
      </c>
    </row>
    <row r="435" spans="1:9" x14ac:dyDescent="0.25">
      <c r="A435" s="204" t="s">
        <v>502</v>
      </c>
      <c r="B435" s="9" t="str">
        <f t="shared" si="12"/>
        <v>13121107</v>
      </c>
      <c r="C435" s="9" t="str">
        <f>VLOOKUP(B435,COA!A:B,2,FALSE)</f>
        <v>BNYM IA - Customer ACH</v>
      </c>
      <c r="D435" s="338" t="str">
        <f t="shared" si="13"/>
        <v>C1312</v>
      </c>
      <c r="E435" s="338" t="s">
        <v>6885</v>
      </c>
      <c r="G435" s="338">
        <v>0</v>
      </c>
      <c r="H435" s="204" t="s">
        <v>77</v>
      </c>
      <c r="I435" s="204" t="s">
        <v>7362</v>
      </c>
    </row>
    <row r="436" spans="1:9" x14ac:dyDescent="0.25">
      <c r="A436" s="204" t="s">
        <v>503</v>
      </c>
      <c r="B436" s="9" t="str">
        <f t="shared" si="12"/>
        <v>13121108</v>
      </c>
      <c r="C436" s="9" t="str">
        <f>VLOOKUP(B436,COA!A:B,2,FALSE)</f>
        <v>BNYM IA - Customer Lockbox</v>
      </c>
      <c r="D436" s="338" t="str">
        <f t="shared" si="13"/>
        <v>C1312</v>
      </c>
      <c r="E436" s="338" t="s">
        <v>6885</v>
      </c>
      <c r="G436" s="338">
        <v>0</v>
      </c>
      <c r="H436" s="204" t="s">
        <v>77</v>
      </c>
      <c r="I436" s="204" t="s">
        <v>7362</v>
      </c>
    </row>
    <row r="437" spans="1:9" x14ac:dyDescent="0.25">
      <c r="A437" s="204" t="s">
        <v>504</v>
      </c>
      <c r="B437" s="9" t="str">
        <f t="shared" si="12"/>
        <v>13121109</v>
      </c>
      <c r="C437" s="9" t="str">
        <f>VLOOKUP(B437,COA!A:B,2,FALSE)</f>
        <v>BNYM IA - Credit Card and E-Checks</v>
      </c>
      <c r="D437" s="338" t="str">
        <f t="shared" si="13"/>
        <v>C1312</v>
      </c>
      <c r="E437" s="338" t="s">
        <v>6885</v>
      </c>
      <c r="G437" s="338">
        <v>0</v>
      </c>
      <c r="H437" s="204" t="s">
        <v>77</v>
      </c>
      <c r="I437" s="204" t="s">
        <v>7362</v>
      </c>
    </row>
    <row r="438" spans="1:9" x14ac:dyDescent="0.25">
      <c r="A438" s="204" t="s">
        <v>505</v>
      </c>
      <c r="B438" s="9" t="str">
        <f t="shared" si="12"/>
        <v>13121110</v>
      </c>
      <c r="C438" s="9" t="str">
        <f>VLOOKUP(B438,COA!A:B,2,FALSE)</f>
        <v>BNYM IA - Firstech Collections</v>
      </c>
      <c r="D438" s="338" t="str">
        <f t="shared" si="13"/>
        <v>C1312</v>
      </c>
      <c r="E438" s="338" t="s">
        <v>6885</v>
      </c>
      <c r="G438" s="338">
        <v>0</v>
      </c>
      <c r="H438" s="204" t="s">
        <v>77</v>
      </c>
      <c r="I438" s="204" t="s">
        <v>7362</v>
      </c>
    </row>
    <row r="439" spans="1:9" x14ac:dyDescent="0.25">
      <c r="A439" s="204" t="s">
        <v>506</v>
      </c>
      <c r="B439" s="9" t="str">
        <f t="shared" si="12"/>
        <v>13121111</v>
      </c>
      <c r="C439" s="9" t="str">
        <f>VLOOKUP(B439,COA!A:B,2,FALSE)</f>
        <v>BNYM IA - FiServ (fka CheckFree)</v>
      </c>
      <c r="D439" s="338" t="str">
        <f t="shared" si="13"/>
        <v>C1312</v>
      </c>
      <c r="E439" s="338" t="s">
        <v>6885</v>
      </c>
      <c r="G439" s="338">
        <v>0</v>
      </c>
      <c r="H439" s="204" t="s">
        <v>77</v>
      </c>
      <c r="I439" s="204" t="s">
        <v>7362</v>
      </c>
    </row>
    <row r="440" spans="1:9" x14ac:dyDescent="0.25">
      <c r="A440" s="204" t="s">
        <v>507</v>
      </c>
      <c r="B440" s="9" t="str">
        <f t="shared" si="12"/>
        <v>13121112</v>
      </c>
      <c r="C440" s="9" t="str">
        <f>VLOOKUP(B440,COA!A:B,2,FALSE)</f>
        <v>BNYM IA - Penn Credit</v>
      </c>
      <c r="D440" s="338" t="str">
        <f t="shared" si="13"/>
        <v>C1312</v>
      </c>
      <c r="E440" s="338" t="s">
        <v>6885</v>
      </c>
      <c r="G440" s="338">
        <v>0</v>
      </c>
      <c r="H440" s="204" t="s">
        <v>77</v>
      </c>
      <c r="I440" s="204" t="s">
        <v>7362</v>
      </c>
    </row>
    <row r="441" spans="1:9" x14ac:dyDescent="0.25">
      <c r="A441" s="204" t="s">
        <v>508</v>
      </c>
      <c r="B441" s="9" t="str">
        <f t="shared" si="12"/>
        <v>13121113</v>
      </c>
      <c r="C441" s="9" t="str">
        <f>VLOOKUP(B441,COA!A:B,2,FALSE)</f>
        <v>BNYM IA - E-Return - Mellon</v>
      </c>
      <c r="D441" s="338" t="str">
        <f t="shared" si="13"/>
        <v>C1312</v>
      </c>
      <c r="E441" s="338" t="s">
        <v>6885</v>
      </c>
      <c r="G441" s="338">
        <v>0</v>
      </c>
      <c r="H441" s="204" t="s">
        <v>77</v>
      </c>
      <c r="I441" s="204" t="s">
        <v>7362</v>
      </c>
    </row>
    <row r="442" spans="1:9" x14ac:dyDescent="0.25">
      <c r="A442" s="204" t="s">
        <v>509</v>
      </c>
      <c r="B442" s="9" t="str">
        <f t="shared" si="12"/>
        <v>13121114</v>
      </c>
      <c r="C442" s="9" t="str">
        <f>VLOOKUP(B442,COA!A:B,2,FALSE)</f>
        <v>BNYM IA -Credit Card &amp; Echeck E-Returns</v>
      </c>
      <c r="D442" s="338" t="str">
        <f t="shared" si="13"/>
        <v>C1312</v>
      </c>
      <c r="E442" s="338" t="s">
        <v>6885</v>
      </c>
      <c r="G442" s="338">
        <v>0</v>
      </c>
      <c r="H442" s="204" t="s">
        <v>77</v>
      </c>
      <c r="I442" s="204" t="s">
        <v>7362</v>
      </c>
    </row>
    <row r="443" spans="1:9" x14ac:dyDescent="0.25">
      <c r="A443" s="204" t="s">
        <v>510</v>
      </c>
      <c r="B443" s="9" t="str">
        <f t="shared" si="12"/>
        <v>13121115</v>
      </c>
      <c r="C443" s="9" t="str">
        <f>VLOOKUP(B443,COA!A:B,2,FALSE)</f>
        <v>BNYM IA - Customer A/R Ck Conversion</v>
      </c>
      <c r="D443" s="338" t="str">
        <f t="shared" si="13"/>
        <v>C1312</v>
      </c>
      <c r="E443" s="338" t="s">
        <v>6885</v>
      </c>
      <c r="G443" s="338">
        <v>0</v>
      </c>
      <c r="H443" s="204" t="s">
        <v>77</v>
      </c>
      <c r="I443" s="204" t="s">
        <v>7362</v>
      </c>
    </row>
    <row r="444" spans="1:9" x14ac:dyDescent="0.25">
      <c r="A444" s="204" t="s">
        <v>511</v>
      </c>
      <c r="B444" s="9" t="str">
        <f t="shared" si="12"/>
        <v>13121116</v>
      </c>
      <c r="C444" s="9" t="str">
        <f>VLOOKUP(B444,COA!A:B,2,FALSE)</f>
        <v>BNYM IA - NSF Return Payments</v>
      </c>
      <c r="D444" s="338" t="str">
        <f t="shared" si="13"/>
        <v>C1312</v>
      </c>
      <c r="E444" s="338" t="s">
        <v>6885</v>
      </c>
      <c r="G444" s="338">
        <v>0</v>
      </c>
      <c r="H444" s="204" t="s">
        <v>77</v>
      </c>
      <c r="I444" s="204" t="s">
        <v>7362</v>
      </c>
    </row>
    <row r="445" spans="1:9" x14ac:dyDescent="0.25">
      <c r="A445" s="204" t="s">
        <v>512</v>
      </c>
      <c r="B445" s="9" t="str">
        <f t="shared" si="12"/>
        <v>13121117</v>
      </c>
      <c r="C445" s="9" t="str">
        <f>VLOOKUP(B445,COA!A:B,2,FALSE)</f>
        <v>BNYM IA - Misc Debits/Credits</v>
      </c>
      <c r="D445" s="338" t="str">
        <f t="shared" si="13"/>
        <v>C1312</v>
      </c>
      <c r="E445" s="338" t="s">
        <v>6885</v>
      </c>
      <c r="G445" s="338">
        <v>0</v>
      </c>
      <c r="H445" s="204" t="s">
        <v>77</v>
      </c>
      <c r="I445" s="204" t="s">
        <v>7362</v>
      </c>
    </row>
    <row r="446" spans="1:9" x14ac:dyDescent="0.25">
      <c r="A446" s="204" t="s">
        <v>513</v>
      </c>
      <c r="B446" s="9" t="str">
        <f t="shared" si="12"/>
        <v>13121118</v>
      </c>
      <c r="C446" s="9" t="str">
        <f>VLOOKUP(B446,COA!A:B,2,FALSE)</f>
        <v>BNYM IA - Client Services - 3rd Party Collections</v>
      </c>
      <c r="D446" s="338" t="str">
        <f t="shared" si="13"/>
        <v>C1312</v>
      </c>
      <c r="E446" s="338" t="s">
        <v>6885</v>
      </c>
      <c r="G446" s="338">
        <v>0</v>
      </c>
      <c r="H446" s="204" t="s">
        <v>77</v>
      </c>
      <c r="I446" s="204" t="s">
        <v>7362</v>
      </c>
    </row>
    <row r="447" spans="1:9" x14ac:dyDescent="0.25">
      <c r="A447" s="204" t="s">
        <v>514</v>
      </c>
      <c r="B447" s="9" t="str">
        <f t="shared" si="12"/>
        <v>13121200</v>
      </c>
      <c r="C447" s="9" t="str">
        <f>VLOOKUP(B447,COA!A:B,2,FALSE)</f>
        <v>BNYM KY</v>
      </c>
      <c r="D447" s="338" t="str">
        <f t="shared" si="13"/>
        <v>C1312</v>
      </c>
      <c r="E447" s="338" t="s">
        <v>6885</v>
      </c>
      <c r="G447" s="338">
        <v>0</v>
      </c>
      <c r="H447" s="204" t="s">
        <v>77</v>
      </c>
      <c r="I447" s="204" t="s">
        <v>7362</v>
      </c>
    </row>
    <row r="448" spans="1:9" x14ac:dyDescent="0.25">
      <c r="A448" s="204" t="s">
        <v>515</v>
      </c>
      <c r="B448" s="9" t="str">
        <f t="shared" si="12"/>
        <v>13121201</v>
      </c>
      <c r="C448" s="9" t="str">
        <f>VLOOKUP(B448,COA!A:B,2,FALSE)</f>
        <v>BNYM KY - Outbound Wire</v>
      </c>
      <c r="D448" s="338" t="str">
        <f t="shared" si="13"/>
        <v>C1312</v>
      </c>
      <c r="E448" s="338" t="s">
        <v>6885</v>
      </c>
      <c r="G448" s="338">
        <v>0</v>
      </c>
      <c r="H448" s="204" t="s">
        <v>77</v>
      </c>
      <c r="I448" s="204" t="s">
        <v>7362</v>
      </c>
    </row>
    <row r="449" spans="1:9" x14ac:dyDescent="0.25">
      <c r="A449" s="204" t="s">
        <v>516</v>
      </c>
      <c r="B449" s="9" t="str">
        <f t="shared" si="12"/>
        <v>13121204</v>
      </c>
      <c r="C449" s="9" t="str">
        <f>VLOOKUP(B449,COA!A:B,2,FALSE)</f>
        <v>BNYM KY - Inbound Wires &amp; ACH</v>
      </c>
      <c r="D449" s="338" t="str">
        <f t="shared" si="13"/>
        <v>C1312</v>
      </c>
      <c r="E449" s="338" t="s">
        <v>6885</v>
      </c>
      <c r="G449" s="338">
        <v>0</v>
      </c>
      <c r="H449" s="204" t="s">
        <v>77</v>
      </c>
      <c r="I449" s="204" t="s">
        <v>7362</v>
      </c>
    </row>
    <row r="450" spans="1:9" x14ac:dyDescent="0.25">
      <c r="A450" s="204" t="s">
        <v>517</v>
      </c>
      <c r="B450" s="9" t="str">
        <f t="shared" si="12"/>
        <v>13121206</v>
      </c>
      <c r="C450" s="9" t="str">
        <f>VLOOKUP(B450,COA!A:B,2,FALSE)</f>
        <v>BNYM KY - Customer Direct Debit</v>
      </c>
      <c r="D450" s="338" t="str">
        <f t="shared" si="13"/>
        <v>C1312</v>
      </c>
      <c r="E450" s="338" t="s">
        <v>6885</v>
      </c>
      <c r="G450" s="338">
        <v>0</v>
      </c>
      <c r="H450" s="204" t="s">
        <v>77</v>
      </c>
      <c r="I450" s="204" t="s">
        <v>7362</v>
      </c>
    </row>
    <row r="451" spans="1:9" x14ac:dyDescent="0.25">
      <c r="A451" s="204" t="s">
        <v>518</v>
      </c>
      <c r="B451" s="9" t="str">
        <f t="shared" si="12"/>
        <v>13121207</v>
      </c>
      <c r="C451" s="9" t="str">
        <f>VLOOKUP(B451,COA!A:B,2,FALSE)</f>
        <v>BNYM KY - Customer ACH</v>
      </c>
      <c r="D451" s="338" t="str">
        <f t="shared" si="13"/>
        <v>C1312</v>
      </c>
      <c r="E451" s="338" t="s">
        <v>6885</v>
      </c>
      <c r="G451" s="338">
        <v>0</v>
      </c>
      <c r="H451" s="204" t="s">
        <v>77</v>
      </c>
      <c r="I451" s="204" t="s">
        <v>7362</v>
      </c>
    </row>
    <row r="452" spans="1:9" x14ac:dyDescent="0.25">
      <c r="A452" s="204" t="s">
        <v>519</v>
      </c>
      <c r="B452" s="9" t="str">
        <f t="shared" si="12"/>
        <v>13121208</v>
      </c>
      <c r="C452" s="9" t="str">
        <f>VLOOKUP(B452,COA!A:B,2,FALSE)</f>
        <v>BNYM KY - Customer Lockbox</v>
      </c>
      <c r="D452" s="338" t="str">
        <f t="shared" si="13"/>
        <v>C1312</v>
      </c>
      <c r="E452" s="338" t="s">
        <v>6885</v>
      </c>
      <c r="G452" s="338">
        <v>0</v>
      </c>
      <c r="H452" s="204" t="s">
        <v>77</v>
      </c>
      <c r="I452" s="204" t="s">
        <v>7362</v>
      </c>
    </row>
    <row r="453" spans="1:9" x14ac:dyDescent="0.25">
      <c r="A453" s="204" t="s">
        <v>520</v>
      </c>
      <c r="B453" s="9" t="str">
        <f t="shared" si="12"/>
        <v>13121209</v>
      </c>
      <c r="C453" s="9" t="str">
        <f>VLOOKUP(B453,COA!A:B,2,FALSE)</f>
        <v>BNYM KY - Credit Card and E-Checks</v>
      </c>
      <c r="D453" s="338" t="str">
        <f t="shared" si="13"/>
        <v>C1312</v>
      </c>
      <c r="E453" s="338" t="s">
        <v>6885</v>
      </c>
      <c r="G453" s="338">
        <v>0</v>
      </c>
      <c r="H453" s="204" t="s">
        <v>77</v>
      </c>
      <c r="I453" s="204" t="s">
        <v>7362</v>
      </c>
    </row>
    <row r="454" spans="1:9" x14ac:dyDescent="0.25">
      <c r="A454" s="204" t="s">
        <v>521</v>
      </c>
      <c r="B454" s="9" t="str">
        <f t="shared" si="12"/>
        <v>13121211</v>
      </c>
      <c r="C454" s="9" t="str">
        <f>VLOOKUP(B454,COA!A:B,2,FALSE)</f>
        <v>BNYM KY - FiServ (fka CheckFree)</v>
      </c>
      <c r="D454" s="338" t="str">
        <f t="shared" si="13"/>
        <v>C1312</v>
      </c>
      <c r="E454" s="338" t="s">
        <v>6885</v>
      </c>
      <c r="G454" s="338">
        <v>0</v>
      </c>
      <c r="H454" s="204" t="s">
        <v>77</v>
      </c>
      <c r="I454" s="204" t="s">
        <v>7362</v>
      </c>
    </row>
    <row r="455" spans="1:9" x14ac:dyDescent="0.25">
      <c r="A455" s="204" t="s">
        <v>522</v>
      </c>
      <c r="B455" s="9" t="str">
        <f t="shared" si="12"/>
        <v>13121212</v>
      </c>
      <c r="C455" s="9" t="str">
        <f>VLOOKUP(B455,COA!A:B,2,FALSE)</f>
        <v>BNYM KY - Penn Credit</v>
      </c>
      <c r="D455" s="338" t="str">
        <f t="shared" si="13"/>
        <v>C1312</v>
      </c>
      <c r="E455" s="338" t="s">
        <v>6885</v>
      </c>
      <c r="G455" s="338">
        <v>0</v>
      </c>
      <c r="H455" s="204" t="s">
        <v>77</v>
      </c>
      <c r="I455" s="204" t="s">
        <v>7362</v>
      </c>
    </row>
    <row r="456" spans="1:9" x14ac:dyDescent="0.25">
      <c r="A456" s="204" t="s">
        <v>523</v>
      </c>
      <c r="B456" s="9" t="str">
        <f t="shared" si="12"/>
        <v>13121213</v>
      </c>
      <c r="C456" s="9" t="str">
        <f>VLOOKUP(B456,COA!A:B,2,FALSE)</f>
        <v>BNYM KY - E-Return - Mellon</v>
      </c>
      <c r="D456" s="338" t="str">
        <f t="shared" si="13"/>
        <v>C1312</v>
      </c>
      <c r="E456" s="338" t="s">
        <v>6885</v>
      </c>
      <c r="G456" s="338">
        <v>0</v>
      </c>
      <c r="H456" s="204" t="s">
        <v>77</v>
      </c>
      <c r="I456" s="204" t="s">
        <v>7362</v>
      </c>
    </row>
    <row r="457" spans="1:9" x14ac:dyDescent="0.25">
      <c r="A457" s="204" t="s">
        <v>524</v>
      </c>
      <c r="B457" s="9" t="str">
        <f t="shared" ref="B457:B520" si="14">RIGHT(A457,8)</f>
        <v>13121214</v>
      </c>
      <c r="C457" s="9" t="str">
        <f>VLOOKUP(B457,COA!A:B,2,FALSE)</f>
        <v>BNYM KY -Credit Card &amp; Echeck E-Returns</v>
      </c>
      <c r="D457" s="338" t="str">
        <f t="shared" si="13"/>
        <v>C1312</v>
      </c>
      <c r="E457" s="338" t="s">
        <v>6885</v>
      </c>
      <c r="G457" s="338">
        <v>0</v>
      </c>
      <c r="H457" s="204" t="s">
        <v>77</v>
      </c>
      <c r="I457" s="204" t="s">
        <v>7362</v>
      </c>
    </row>
    <row r="458" spans="1:9" x14ac:dyDescent="0.25">
      <c r="A458" s="204" t="s">
        <v>525</v>
      </c>
      <c r="B458" s="9" t="str">
        <f t="shared" si="14"/>
        <v>13121215</v>
      </c>
      <c r="C458" s="9" t="str">
        <f>VLOOKUP(B458,COA!A:B,2,FALSE)</f>
        <v>BNYM KY - Customer A/R Ck Conversion</v>
      </c>
      <c r="D458" s="338" t="str">
        <f t="shared" si="13"/>
        <v>C1312</v>
      </c>
      <c r="E458" s="338" t="s">
        <v>6885</v>
      </c>
      <c r="G458" s="338">
        <v>0</v>
      </c>
      <c r="H458" s="204" t="s">
        <v>77</v>
      </c>
      <c r="I458" s="204" t="s">
        <v>7362</v>
      </c>
    </row>
    <row r="459" spans="1:9" x14ac:dyDescent="0.25">
      <c r="A459" s="204" t="s">
        <v>526</v>
      </c>
      <c r="B459" s="9" t="str">
        <f t="shared" si="14"/>
        <v>13121216</v>
      </c>
      <c r="C459" s="9" t="str">
        <f>VLOOKUP(B459,COA!A:B,2,FALSE)</f>
        <v>BNYM KY - NSF Return Payments</v>
      </c>
      <c r="D459" s="338" t="str">
        <f t="shared" ref="D459:D522" si="15">+I459</f>
        <v>C1312</v>
      </c>
      <c r="E459" s="338" t="s">
        <v>6885</v>
      </c>
      <c r="G459" s="338">
        <v>0</v>
      </c>
      <c r="H459" s="204" t="s">
        <v>77</v>
      </c>
      <c r="I459" s="204" t="s">
        <v>7362</v>
      </c>
    </row>
    <row r="460" spans="1:9" x14ac:dyDescent="0.25">
      <c r="A460" s="204" t="s">
        <v>527</v>
      </c>
      <c r="B460" s="9" t="str">
        <f t="shared" si="14"/>
        <v>13121217</v>
      </c>
      <c r="C460" s="9" t="str">
        <f>VLOOKUP(B460,COA!A:B,2,FALSE)</f>
        <v>BNYM KY - Misc Debits/Credits</v>
      </c>
      <c r="D460" s="338" t="str">
        <f t="shared" si="15"/>
        <v>C1312</v>
      </c>
      <c r="E460" s="338" t="s">
        <v>6885</v>
      </c>
      <c r="G460" s="338">
        <v>0</v>
      </c>
      <c r="H460" s="204" t="s">
        <v>77</v>
      </c>
      <c r="I460" s="204" t="s">
        <v>7362</v>
      </c>
    </row>
    <row r="461" spans="1:9" x14ac:dyDescent="0.25">
      <c r="A461" s="204" t="s">
        <v>528</v>
      </c>
      <c r="B461" s="9" t="str">
        <f t="shared" si="14"/>
        <v>13121218</v>
      </c>
      <c r="C461" s="9" t="str">
        <f>VLOOKUP(B461,COA!A:B,2,FALSE)</f>
        <v>BNYM KY - Client Services - 3rd Party Collections</v>
      </c>
      <c r="D461" s="338" t="str">
        <f t="shared" si="15"/>
        <v>C1312</v>
      </c>
      <c r="E461" s="338" t="s">
        <v>6885</v>
      </c>
      <c r="G461" s="338">
        <v>0</v>
      </c>
      <c r="H461" s="204" t="s">
        <v>77</v>
      </c>
      <c r="I461" s="204" t="s">
        <v>7362</v>
      </c>
    </row>
    <row r="462" spans="1:9" x14ac:dyDescent="0.25">
      <c r="A462" s="204" t="s">
        <v>529</v>
      </c>
      <c r="B462" s="9" t="str">
        <f t="shared" si="14"/>
        <v>13121300</v>
      </c>
      <c r="C462" s="9" t="str">
        <f>VLOOKUP(B462,COA!A:B,2,FALSE)</f>
        <v>BNYM MD</v>
      </c>
      <c r="D462" s="338" t="str">
        <f t="shared" si="15"/>
        <v>C1312</v>
      </c>
      <c r="E462" s="338" t="s">
        <v>6885</v>
      </c>
      <c r="G462" s="338">
        <v>0</v>
      </c>
      <c r="H462" s="204" t="s">
        <v>77</v>
      </c>
      <c r="I462" s="204" t="s">
        <v>7362</v>
      </c>
    </row>
    <row r="463" spans="1:9" x14ac:dyDescent="0.25">
      <c r="A463" s="204" t="s">
        <v>530</v>
      </c>
      <c r="B463" s="9" t="str">
        <f t="shared" si="14"/>
        <v>13121301</v>
      </c>
      <c r="C463" s="9" t="str">
        <f>VLOOKUP(B463,COA!A:B,2,FALSE)</f>
        <v>BNYM MD - Outbound Wire</v>
      </c>
      <c r="D463" s="338" t="str">
        <f t="shared" si="15"/>
        <v>C1312</v>
      </c>
      <c r="E463" s="338" t="s">
        <v>6885</v>
      </c>
      <c r="G463" s="338">
        <v>0</v>
      </c>
      <c r="H463" s="204" t="s">
        <v>77</v>
      </c>
      <c r="I463" s="204" t="s">
        <v>7362</v>
      </c>
    </row>
    <row r="464" spans="1:9" x14ac:dyDescent="0.25">
      <c r="A464" s="204" t="s">
        <v>531</v>
      </c>
      <c r="B464" s="9" t="str">
        <f t="shared" si="14"/>
        <v>13121304</v>
      </c>
      <c r="C464" s="9" t="str">
        <f>VLOOKUP(B464,COA!A:B,2,FALSE)</f>
        <v>BNYM MD - Inbound Wires &amp; ACH</v>
      </c>
      <c r="D464" s="338" t="str">
        <f t="shared" si="15"/>
        <v>C1312</v>
      </c>
      <c r="E464" s="338" t="s">
        <v>6885</v>
      </c>
      <c r="G464" s="338">
        <v>0</v>
      </c>
      <c r="H464" s="204" t="s">
        <v>77</v>
      </c>
      <c r="I464" s="204" t="s">
        <v>7362</v>
      </c>
    </row>
    <row r="465" spans="1:9" x14ac:dyDescent="0.25">
      <c r="A465" s="204" t="s">
        <v>532</v>
      </c>
      <c r="B465" s="9" t="str">
        <f t="shared" si="14"/>
        <v>13121306</v>
      </c>
      <c r="C465" s="9" t="str">
        <f>VLOOKUP(B465,COA!A:B,2,FALSE)</f>
        <v>BNYM MD - Customer Direct Debit</v>
      </c>
      <c r="D465" s="338" t="str">
        <f t="shared" si="15"/>
        <v>C1312</v>
      </c>
      <c r="E465" s="338" t="s">
        <v>6885</v>
      </c>
      <c r="G465" s="338">
        <v>0</v>
      </c>
      <c r="H465" s="204" t="s">
        <v>77</v>
      </c>
      <c r="I465" s="204" t="s">
        <v>7362</v>
      </c>
    </row>
    <row r="466" spans="1:9" x14ac:dyDescent="0.25">
      <c r="A466" s="204" t="s">
        <v>533</v>
      </c>
      <c r="B466" s="9" t="str">
        <f t="shared" si="14"/>
        <v>13121307</v>
      </c>
      <c r="C466" s="9" t="str">
        <f>VLOOKUP(B466,COA!A:B,2,FALSE)</f>
        <v>BNYM MD - Customer ACH</v>
      </c>
      <c r="D466" s="338" t="str">
        <f t="shared" si="15"/>
        <v>C1312</v>
      </c>
      <c r="E466" s="338" t="s">
        <v>6885</v>
      </c>
      <c r="G466" s="338">
        <v>0</v>
      </c>
      <c r="H466" s="204" t="s">
        <v>77</v>
      </c>
      <c r="I466" s="204" t="s">
        <v>7362</v>
      </c>
    </row>
    <row r="467" spans="1:9" x14ac:dyDescent="0.25">
      <c r="A467" s="204" t="s">
        <v>534</v>
      </c>
      <c r="B467" s="9" t="str">
        <f t="shared" si="14"/>
        <v>13121308</v>
      </c>
      <c r="C467" s="9" t="str">
        <f>VLOOKUP(B467,COA!A:B,2,FALSE)</f>
        <v>BNYM MD - Customer Lockbox</v>
      </c>
      <c r="D467" s="338" t="str">
        <f t="shared" si="15"/>
        <v>C1312</v>
      </c>
      <c r="E467" s="338" t="s">
        <v>6885</v>
      </c>
      <c r="G467" s="338">
        <v>0</v>
      </c>
      <c r="H467" s="204" t="s">
        <v>77</v>
      </c>
      <c r="I467" s="204" t="s">
        <v>7362</v>
      </c>
    </row>
    <row r="468" spans="1:9" x14ac:dyDescent="0.25">
      <c r="A468" s="204" t="s">
        <v>535</v>
      </c>
      <c r="B468" s="9" t="str">
        <f t="shared" si="14"/>
        <v>13121309</v>
      </c>
      <c r="C468" s="9" t="str">
        <f>VLOOKUP(B468,COA!A:B,2,FALSE)</f>
        <v>BNYM MD - Credit Card and E-Checks</v>
      </c>
      <c r="D468" s="338" t="str">
        <f t="shared" si="15"/>
        <v>C1312</v>
      </c>
      <c r="E468" s="338" t="s">
        <v>6885</v>
      </c>
      <c r="G468" s="338">
        <v>0</v>
      </c>
      <c r="H468" s="204" t="s">
        <v>77</v>
      </c>
      <c r="I468" s="204" t="s">
        <v>7362</v>
      </c>
    </row>
    <row r="469" spans="1:9" x14ac:dyDescent="0.25">
      <c r="A469" s="204" t="s">
        <v>536</v>
      </c>
      <c r="B469" s="9" t="str">
        <f t="shared" si="14"/>
        <v>13121311</v>
      </c>
      <c r="C469" s="9" t="str">
        <f>VLOOKUP(B469,COA!A:B,2,FALSE)</f>
        <v>BNYM MD - FiServ (fka CheckFree)</v>
      </c>
      <c r="D469" s="338" t="str">
        <f t="shared" si="15"/>
        <v>C1312</v>
      </c>
      <c r="E469" s="338" t="s">
        <v>6885</v>
      </c>
      <c r="G469" s="338">
        <v>0</v>
      </c>
      <c r="H469" s="204" t="s">
        <v>77</v>
      </c>
      <c r="I469" s="204" t="s">
        <v>7362</v>
      </c>
    </row>
    <row r="470" spans="1:9" x14ac:dyDescent="0.25">
      <c r="A470" s="204" t="s">
        <v>537</v>
      </c>
      <c r="B470" s="9" t="str">
        <f t="shared" si="14"/>
        <v>13121312</v>
      </c>
      <c r="C470" s="9" t="str">
        <f>VLOOKUP(B470,COA!A:B,2,FALSE)</f>
        <v>BNYM MD - Penn Credit</v>
      </c>
      <c r="D470" s="338" t="str">
        <f t="shared" si="15"/>
        <v>C1312</v>
      </c>
      <c r="E470" s="338" t="s">
        <v>6885</v>
      </c>
      <c r="G470" s="338">
        <v>0</v>
      </c>
      <c r="H470" s="204" t="s">
        <v>77</v>
      </c>
      <c r="I470" s="204" t="s">
        <v>7362</v>
      </c>
    </row>
    <row r="471" spans="1:9" x14ac:dyDescent="0.25">
      <c r="A471" s="204" t="s">
        <v>538</v>
      </c>
      <c r="B471" s="9" t="str">
        <f t="shared" si="14"/>
        <v>13121313</v>
      </c>
      <c r="C471" s="9" t="str">
        <f>VLOOKUP(B471,COA!A:B,2,FALSE)</f>
        <v>BNYM MD - E-Return - Mellon</v>
      </c>
      <c r="D471" s="338" t="str">
        <f t="shared" si="15"/>
        <v>C1312</v>
      </c>
      <c r="E471" s="338" t="s">
        <v>6885</v>
      </c>
      <c r="G471" s="338">
        <v>0</v>
      </c>
      <c r="H471" s="204" t="s">
        <v>77</v>
      </c>
      <c r="I471" s="204" t="s">
        <v>7362</v>
      </c>
    </row>
    <row r="472" spans="1:9" x14ac:dyDescent="0.25">
      <c r="A472" s="204" t="s">
        <v>539</v>
      </c>
      <c r="B472" s="9" t="str">
        <f t="shared" si="14"/>
        <v>13121314</v>
      </c>
      <c r="C472" s="9" t="str">
        <f>VLOOKUP(B472,COA!A:B,2,FALSE)</f>
        <v>BNYM MD -Credit Card &amp; Echeck E-Returns</v>
      </c>
      <c r="D472" s="338" t="str">
        <f t="shared" si="15"/>
        <v>C1312</v>
      </c>
      <c r="E472" s="338" t="s">
        <v>6885</v>
      </c>
      <c r="G472" s="338">
        <v>0</v>
      </c>
      <c r="H472" s="204" t="s">
        <v>77</v>
      </c>
      <c r="I472" s="204" t="s">
        <v>7362</v>
      </c>
    </row>
    <row r="473" spans="1:9" x14ac:dyDescent="0.25">
      <c r="A473" s="204" t="s">
        <v>540</v>
      </c>
      <c r="B473" s="9" t="str">
        <f t="shared" si="14"/>
        <v>13121315</v>
      </c>
      <c r="C473" s="9" t="str">
        <f>VLOOKUP(B473,COA!A:B,2,FALSE)</f>
        <v>BNYM MD - Customer A/R Ck Conversion</v>
      </c>
      <c r="D473" s="338" t="str">
        <f t="shared" si="15"/>
        <v>C1312</v>
      </c>
      <c r="E473" s="338" t="s">
        <v>6885</v>
      </c>
      <c r="G473" s="338">
        <v>0</v>
      </c>
      <c r="H473" s="204" t="s">
        <v>77</v>
      </c>
      <c r="I473" s="204" t="s">
        <v>7362</v>
      </c>
    </row>
    <row r="474" spans="1:9" x14ac:dyDescent="0.25">
      <c r="A474" s="204" t="s">
        <v>541</v>
      </c>
      <c r="B474" s="9" t="str">
        <f t="shared" si="14"/>
        <v>13121316</v>
      </c>
      <c r="C474" s="9" t="str">
        <f>VLOOKUP(B474,COA!A:B,2,FALSE)</f>
        <v>BNYM MD - NSF Return Payments</v>
      </c>
      <c r="D474" s="338" t="str">
        <f t="shared" si="15"/>
        <v>C1312</v>
      </c>
      <c r="E474" s="338" t="s">
        <v>6885</v>
      </c>
      <c r="G474" s="338">
        <v>0</v>
      </c>
      <c r="H474" s="204" t="s">
        <v>77</v>
      </c>
      <c r="I474" s="204" t="s">
        <v>7362</v>
      </c>
    </row>
    <row r="475" spans="1:9" x14ac:dyDescent="0.25">
      <c r="A475" s="204" t="s">
        <v>542</v>
      </c>
      <c r="B475" s="9" t="str">
        <f t="shared" si="14"/>
        <v>13121317</v>
      </c>
      <c r="C475" s="9" t="str">
        <f>VLOOKUP(B475,COA!A:B,2,FALSE)</f>
        <v>BNYM MD - Misc Debits/Credits</v>
      </c>
      <c r="D475" s="338" t="str">
        <f t="shared" si="15"/>
        <v>C1312</v>
      </c>
      <c r="E475" s="338" t="s">
        <v>6885</v>
      </c>
      <c r="G475" s="338">
        <v>0</v>
      </c>
      <c r="H475" s="204" t="s">
        <v>77</v>
      </c>
      <c r="I475" s="204" t="s">
        <v>7362</v>
      </c>
    </row>
    <row r="476" spans="1:9" x14ac:dyDescent="0.25">
      <c r="A476" s="204" t="s">
        <v>543</v>
      </c>
      <c r="B476" s="9" t="str">
        <f t="shared" si="14"/>
        <v>13121318</v>
      </c>
      <c r="C476" s="9" t="str">
        <f>VLOOKUP(B476,COA!A:B,2,FALSE)</f>
        <v>BNYM MD - Client Services - 3rd Party Collections</v>
      </c>
      <c r="D476" s="338" t="str">
        <f t="shared" si="15"/>
        <v>C1312</v>
      </c>
      <c r="E476" s="338" t="s">
        <v>6885</v>
      </c>
      <c r="G476" s="338">
        <v>0</v>
      </c>
      <c r="H476" s="204" t="s">
        <v>77</v>
      </c>
      <c r="I476" s="204" t="s">
        <v>7362</v>
      </c>
    </row>
    <row r="477" spans="1:9" x14ac:dyDescent="0.25">
      <c r="A477" s="204" t="s">
        <v>544</v>
      </c>
      <c r="B477" s="9" t="str">
        <f t="shared" si="14"/>
        <v>13121500</v>
      </c>
      <c r="C477" s="9" t="str">
        <f>VLOOKUP(B477,COA!A:B,2,FALSE)</f>
        <v>BNYM CA - Main</v>
      </c>
      <c r="D477" s="338" t="str">
        <f t="shared" si="15"/>
        <v>C1312</v>
      </c>
      <c r="E477" s="338" t="s">
        <v>6885</v>
      </c>
      <c r="G477" s="338">
        <v>0</v>
      </c>
      <c r="H477" s="204" t="s">
        <v>77</v>
      </c>
      <c r="I477" s="204" t="s">
        <v>7362</v>
      </c>
    </row>
    <row r="478" spans="1:9" x14ac:dyDescent="0.25">
      <c r="A478" s="204" t="s">
        <v>545</v>
      </c>
      <c r="B478" s="9" t="str">
        <f t="shared" si="14"/>
        <v>13121501</v>
      </c>
      <c r="C478" s="9" t="str">
        <f>VLOOKUP(B478,COA!A:B,2,FALSE)</f>
        <v>BNYM CA - Outbound Wire</v>
      </c>
      <c r="D478" s="338" t="str">
        <f t="shared" si="15"/>
        <v>C1312</v>
      </c>
      <c r="E478" s="338" t="s">
        <v>6885</v>
      </c>
      <c r="G478" s="338">
        <v>0</v>
      </c>
      <c r="H478" s="204" t="s">
        <v>77</v>
      </c>
      <c r="I478" s="204" t="s">
        <v>7362</v>
      </c>
    </row>
    <row r="479" spans="1:9" x14ac:dyDescent="0.25">
      <c r="A479" s="204" t="s">
        <v>546</v>
      </c>
      <c r="B479" s="9" t="str">
        <f t="shared" si="14"/>
        <v>13121504</v>
      </c>
      <c r="C479" s="9" t="str">
        <f>VLOOKUP(B479,COA!A:B,2,FALSE)</f>
        <v>BNYM CA - Inbound Wires &amp; ACH</v>
      </c>
      <c r="D479" s="338" t="str">
        <f t="shared" si="15"/>
        <v>C1312</v>
      </c>
      <c r="E479" s="338" t="s">
        <v>6885</v>
      </c>
      <c r="G479" s="338">
        <v>0</v>
      </c>
      <c r="H479" s="204" t="s">
        <v>77</v>
      </c>
      <c r="I479" s="204" t="s">
        <v>7362</v>
      </c>
    </row>
    <row r="480" spans="1:9" x14ac:dyDescent="0.25">
      <c r="A480" s="204" t="s">
        <v>547</v>
      </c>
      <c r="B480" s="9" t="str">
        <f t="shared" si="14"/>
        <v>13121506</v>
      </c>
      <c r="C480" s="9" t="str">
        <f>VLOOKUP(B480,COA!A:B,2,FALSE)</f>
        <v>BNYM CA - Customer Direct Debit</v>
      </c>
      <c r="D480" s="338" t="str">
        <f t="shared" si="15"/>
        <v>C1312</v>
      </c>
      <c r="E480" s="338" t="s">
        <v>6885</v>
      </c>
      <c r="G480" s="338">
        <v>0</v>
      </c>
      <c r="H480" s="204" t="s">
        <v>77</v>
      </c>
      <c r="I480" s="204" t="s">
        <v>7362</v>
      </c>
    </row>
    <row r="481" spans="1:9" x14ac:dyDescent="0.25">
      <c r="A481" s="204" t="s">
        <v>548</v>
      </c>
      <c r="B481" s="9" t="str">
        <f t="shared" si="14"/>
        <v>13121507</v>
      </c>
      <c r="C481" s="9" t="str">
        <f>VLOOKUP(B481,COA!A:B,2,FALSE)</f>
        <v>BNYM CA - Customer ACH</v>
      </c>
      <c r="D481" s="338" t="str">
        <f t="shared" si="15"/>
        <v>C1312</v>
      </c>
      <c r="E481" s="338" t="s">
        <v>6885</v>
      </c>
      <c r="G481" s="338">
        <v>0</v>
      </c>
      <c r="H481" s="204" t="s">
        <v>77</v>
      </c>
      <c r="I481" s="204" t="s">
        <v>7362</v>
      </c>
    </row>
    <row r="482" spans="1:9" x14ac:dyDescent="0.25">
      <c r="A482" s="204" t="s">
        <v>549</v>
      </c>
      <c r="B482" s="9" t="str">
        <f t="shared" si="14"/>
        <v>13121508</v>
      </c>
      <c r="C482" s="9" t="str">
        <f>VLOOKUP(B482,COA!A:B,2,FALSE)</f>
        <v>BNYM CA - Customer Lockbox</v>
      </c>
      <c r="D482" s="338" t="str">
        <f t="shared" si="15"/>
        <v>C1312</v>
      </c>
      <c r="E482" s="338" t="s">
        <v>6885</v>
      </c>
      <c r="G482" s="338">
        <v>0</v>
      </c>
      <c r="H482" s="204" t="s">
        <v>77</v>
      </c>
      <c r="I482" s="204" t="s">
        <v>7362</v>
      </c>
    </row>
    <row r="483" spans="1:9" x14ac:dyDescent="0.25">
      <c r="A483" s="204" t="s">
        <v>550</v>
      </c>
      <c r="B483" s="9" t="str">
        <f t="shared" si="14"/>
        <v>13121509</v>
      </c>
      <c r="C483" s="9" t="str">
        <f>VLOOKUP(B483,COA!A:B,2,FALSE)</f>
        <v>BNYM CA - Credit Card and E-Checks</v>
      </c>
      <c r="D483" s="338" t="str">
        <f t="shared" si="15"/>
        <v>C1312</v>
      </c>
      <c r="E483" s="338" t="s">
        <v>6885</v>
      </c>
      <c r="G483" s="338">
        <v>0</v>
      </c>
      <c r="H483" s="204" t="s">
        <v>77</v>
      </c>
      <c r="I483" s="204" t="s">
        <v>7362</v>
      </c>
    </row>
    <row r="484" spans="1:9" x14ac:dyDescent="0.25">
      <c r="A484" s="204" t="s">
        <v>551</v>
      </c>
      <c r="B484" s="9" t="str">
        <f t="shared" si="14"/>
        <v>13121511</v>
      </c>
      <c r="C484" s="9" t="str">
        <f>VLOOKUP(B484,COA!A:B,2,FALSE)</f>
        <v>BNYM CA - FiServ (fka CheckFree)</v>
      </c>
      <c r="D484" s="338" t="str">
        <f t="shared" si="15"/>
        <v>C1312</v>
      </c>
      <c r="E484" s="338" t="s">
        <v>6885</v>
      </c>
      <c r="G484" s="338">
        <v>0</v>
      </c>
      <c r="H484" s="204" t="s">
        <v>77</v>
      </c>
      <c r="I484" s="204" t="s">
        <v>7362</v>
      </c>
    </row>
    <row r="485" spans="1:9" x14ac:dyDescent="0.25">
      <c r="A485" s="204" t="s">
        <v>552</v>
      </c>
      <c r="B485" s="9" t="str">
        <f t="shared" si="14"/>
        <v>13121512</v>
      </c>
      <c r="C485" s="9" t="str">
        <f>VLOOKUP(B485,COA!A:B,2,FALSE)</f>
        <v>BNYM CA - Penn Credit</v>
      </c>
      <c r="D485" s="338" t="str">
        <f t="shared" si="15"/>
        <v>C1312</v>
      </c>
      <c r="E485" s="338" t="s">
        <v>6885</v>
      </c>
      <c r="G485" s="338">
        <v>0</v>
      </c>
      <c r="H485" s="204" t="s">
        <v>77</v>
      </c>
      <c r="I485" s="204" t="s">
        <v>7362</v>
      </c>
    </row>
    <row r="486" spans="1:9" x14ac:dyDescent="0.25">
      <c r="A486" s="204" t="s">
        <v>553</v>
      </c>
      <c r="B486" s="9" t="str">
        <f t="shared" si="14"/>
        <v>13121513</v>
      </c>
      <c r="C486" s="9" t="str">
        <f>VLOOKUP(B486,COA!A:B,2,FALSE)</f>
        <v>BNYM CA - E-Return - Mellon</v>
      </c>
      <c r="D486" s="338" t="str">
        <f t="shared" si="15"/>
        <v>C1312</v>
      </c>
      <c r="E486" s="338" t="s">
        <v>6885</v>
      </c>
      <c r="G486" s="338">
        <v>0</v>
      </c>
      <c r="H486" s="204" t="s">
        <v>77</v>
      </c>
      <c r="I486" s="204" t="s">
        <v>7362</v>
      </c>
    </row>
    <row r="487" spans="1:9" x14ac:dyDescent="0.25">
      <c r="A487" s="204" t="s">
        <v>554</v>
      </c>
      <c r="B487" s="9" t="str">
        <f t="shared" si="14"/>
        <v>13121514</v>
      </c>
      <c r="C487" s="9" t="str">
        <f>VLOOKUP(B487,COA!A:B,2,FALSE)</f>
        <v>BNYM CA - Credit Card &amp; Echeck E-Returns</v>
      </c>
      <c r="D487" s="338" t="str">
        <f t="shared" si="15"/>
        <v>C1312</v>
      </c>
      <c r="E487" s="338" t="s">
        <v>6885</v>
      </c>
      <c r="G487" s="338">
        <v>0</v>
      </c>
      <c r="H487" s="204" t="s">
        <v>77</v>
      </c>
      <c r="I487" s="204" t="s">
        <v>7362</v>
      </c>
    </row>
    <row r="488" spans="1:9" x14ac:dyDescent="0.25">
      <c r="A488" s="204" t="s">
        <v>555</v>
      </c>
      <c r="B488" s="9" t="str">
        <f t="shared" si="14"/>
        <v>13121515</v>
      </c>
      <c r="C488" s="9" t="str">
        <f>VLOOKUP(B488,COA!A:B,2,FALSE)</f>
        <v>BNYM CA - Customer A/R Ck Conversion</v>
      </c>
      <c r="D488" s="338" t="str">
        <f t="shared" si="15"/>
        <v>C1312</v>
      </c>
      <c r="E488" s="338" t="s">
        <v>6885</v>
      </c>
      <c r="G488" s="338">
        <v>0</v>
      </c>
      <c r="H488" s="204" t="s">
        <v>77</v>
      </c>
      <c r="I488" s="204" t="s">
        <v>7362</v>
      </c>
    </row>
    <row r="489" spans="1:9" x14ac:dyDescent="0.25">
      <c r="A489" s="204" t="s">
        <v>556</v>
      </c>
      <c r="B489" s="9" t="str">
        <f t="shared" si="14"/>
        <v>13121516</v>
      </c>
      <c r="C489" s="9" t="str">
        <f>VLOOKUP(B489,COA!A:B,2,FALSE)</f>
        <v>BNYM CA - NSF Return Payments</v>
      </c>
      <c r="D489" s="338" t="str">
        <f t="shared" si="15"/>
        <v>C1312</v>
      </c>
      <c r="E489" s="338" t="s">
        <v>6885</v>
      </c>
      <c r="G489" s="338">
        <v>0</v>
      </c>
      <c r="H489" s="204" t="s">
        <v>77</v>
      </c>
      <c r="I489" s="204" t="s">
        <v>7362</v>
      </c>
    </row>
    <row r="490" spans="1:9" x14ac:dyDescent="0.25">
      <c r="A490" s="204" t="s">
        <v>557</v>
      </c>
      <c r="B490" s="9" t="str">
        <f t="shared" si="14"/>
        <v>13121517</v>
      </c>
      <c r="C490" s="9" t="str">
        <f>VLOOKUP(B490,COA!A:B,2,FALSE)</f>
        <v>BNYM CA - Misc Debits/Credits</v>
      </c>
      <c r="D490" s="338" t="str">
        <f t="shared" si="15"/>
        <v>C1312</v>
      </c>
      <c r="E490" s="338" t="s">
        <v>6885</v>
      </c>
      <c r="G490" s="338">
        <v>0</v>
      </c>
      <c r="H490" s="204" t="s">
        <v>77</v>
      </c>
      <c r="I490" s="204" t="s">
        <v>7362</v>
      </c>
    </row>
    <row r="491" spans="1:9" x14ac:dyDescent="0.25">
      <c r="A491" s="204" t="s">
        <v>558</v>
      </c>
      <c r="B491" s="9" t="str">
        <f t="shared" si="14"/>
        <v>13121518</v>
      </c>
      <c r="C491" s="9" t="str">
        <f>VLOOKUP(B491,COA!A:B,2,FALSE)</f>
        <v>BNYM CA - Client Services - 3rd Party Collections</v>
      </c>
      <c r="D491" s="338" t="str">
        <f t="shared" si="15"/>
        <v>C1312</v>
      </c>
      <c r="E491" s="338" t="s">
        <v>6885</v>
      </c>
      <c r="G491" s="338">
        <v>0</v>
      </c>
      <c r="H491" s="204" t="s">
        <v>77</v>
      </c>
      <c r="I491" s="204" t="s">
        <v>7362</v>
      </c>
    </row>
    <row r="492" spans="1:9" x14ac:dyDescent="0.25">
      <c r="A492" s="204" t="s">
        <v>559</v>
      </c>
      <c r="B492" s="9" t="str">
        <f t="shared" si="14"/>
        <v>13121700</v>
      </c>
      <c r="C492" s="9" t="str">
        <f>VLOOKUP(B492,COA!A:B,2,FALSE)</f>
        <v>BNYM MO</v>
      </c>
      <c r="D492" s="338" t="str">
        <f t="shared" si="15"/>
        <v>C1312</v>
      </c>
      <c r="E492" s="338" t="s">
        <v>6885</v>
      </c>
      <c r="G492" s="338">
        <v>0</v>
      </c>
      <c r="H492" s="204" t="s">
        <v>77</v>
      </c>
      <c r="I492" s="204" t="s">
        <v>7362</v>
      </c>
    </row>
    <row r="493" spans="1:9" x14ac:dyDescent="0.25">
      <c r="A493" s="204" t="s">
        <v>560</v>
      </c>
      <c r="B493" s="9" t="str">
        <f t="shared" si="14"/>
        <v>13121701</v>
      </c>
      <c r="C493" s="9" t="str">
        <f>VLOOKUP(B493,COA!A:B,2,FALSE)</f>
        <v>BNYM MO - Outbound Wire</v>
      </c>
      <c r="D493" s="338" t="str">
        <f t="shared" si="15"/>
        <v>C1312</v>
      </c>
      <c r="E493" s="338" t="s">
        <v>6885</v>
      </c>
      <c r="G493" s="338">
        <v>0</v>
      </c>
      <c r="H493" s="204" t="s">
        <v>77</v>
      </c>
      <c r="I493" s="204" t="s">
        <v>7362</v>
      </c>
    </row>
    <row r="494" spans="1:9" x14ac:dyDescent="0.25">
      <c r="A494" s="204" t="s">
        <v>561</v>
      </c>
      <c r="B494" s="9" t="str">
        <f t="shared" si="14"/>
        <v>13121704</v>
      </c>
      <c r="C494" s="9" t="str">
        <f>VLOOKUP(B494,COA!A:B,2,FALSE)</f>
        <v>BNYM MO - Inbound Wires &amp; ACH</v>
      </c>
      <c r="D494" s="338" t="str">
        <f t="shared" si="15"/>
        <v>C1312</v>
      </c>
      <c r="E494" s="338" t="s">
        <v>6885</v>
      </c>
      <c r="G494" s="338">
        <v>0</v>
      </c>
      <c r="H494" s="204" t="s">
        <v>77</v>
      </c>
      <c r="I494" s="204" t="s">
        <v>7362</v>
      </c>
    </row>
    <row r="495" spans="1:9" x14ac:dyDescent="0.25">
      <c r="A495" s="204" t="s">
        <v>562</v>
      </c>
      <c r="B495" s="9" t="str">
        <f t="shared" si="14"/>
        <v>13121706</v>
      </c>
      <c r="C495" s="9" t="str">
        <f>VLOOKUP(B495,COA!A:B,2,FALSE)</f>
        <v>BNYM MO - Customer Direct Debit</v>
      </c>
      <c r="D495" s="338" t="str">
        <f t="shared" si="15"/>
        <v>C1312</v>
      </c>
      <c r="E495" s="338" t="s">
        <v>6885</v>
      </c>
      <c r="G495" s="338">
        <v>0</v>
      </c>
      <c r="H495" s="204" t="s">
        <v>77</v>
      </c>
      <c r="I495" s="204" t="s">
        <v>7362</v>
      </c>
    </row>
    <row r="496" spans="1:9" x14ac:dyDescent="0.25">
      <c r="A496" s="204" t="s">
        <v>563</v>
      </c>
      <c r="B496" s="9" t="str">
        <f t="shared" si="14"/>
        <v>13121707</v>
      </c>
      <c r="C496" s="9" t="str">
        <f>VLOOKUP(B496,COA!A:B,2,FALSE)</f>
        <v>BNYM MO - Customer ACH</v>
      </c>
      <c r="D496" s="338" t="str">
        <f t="shared" si="15"/>
        <v>C1312</v>
      </c>
      <c r="E496" s="338" t="s">
        <v>6885</v>
      </c>
      <c r="G496" s="338">
        <v>0</v>
      </c>
      <c r="H496" s="204" t="s">
        <v>77</v>
      </c>
      <c r="I496" s="204" t="s">
        <v>7362</v>
      </c>
    </row>
    <row r="497" spans="1:9" x14ac:dyDescent="0.25">
      <c r="A497" s="204" t="s">
        <v>564</v>
      </c>
      <c r="B497" s="9" t="str">
        <f t="shared" si="14"/>
        <v>13121708</v>
      </c>
      <c r="C497" s="9" t="str">
        <f>VLOOKUP(B497,COA!A:B,2,FALSE)</f>
        <v>BNYM MO - Customer Lockbox</v>
      </c>
      <c r="D497" s="338" t="str">
        <f t="shared" si="15"/>
        <v>C1312</v>
      </c>
      <c r="E497" s="338" t="s">
        <v>6885</v>
      </c>
      <c r="G497" s="338">
        <v>0</v>
      </c>
      <c r="H497" s="204" t="s">
        <v>77</v>
      </c>
      <c r="I497" s="204" t="s">
        <v>7362</v>
      </c>
    </row>
    <row r="498" spans="1:9" x14ac:dyDescent="0.25">
      <c r="A498" s="204" t="s">
        <v>565</v>
      </c>
      <c r="B498" s="9" t="str">
        <f t="shared" si="14"/>
        <v>13121709</v>
      </c>
      <c r="C498" s="9" t="str">
        <f>VLOOKUP(B498,COA!A:B,2,FALSE)</f>
        <v>BNYM MO - Credit Card and E-Checks</v>
      </c>
      <c r="D498" s="338" t="str">
        <f t="shared" si="15"/>
        <v>C1312</v>
      </c>
      <c r="E498" s="338" t="s">
        <v>6885</v>
      </c>
      <c r="G498" s="338">
        <v>0</v>
      </c>
      <c r="H498" s="204" t="s">
        <v>77</v>
      </c>
      <c r="I498" s="204" t="s">
        <v>7362</v>
      </c>
    </row>
    <row r="499" spans="1:9" x14ac:dyDescent="0.25">
      <c r="A499" s="204" t="s">
        <v>566</v>
      </c>
      <c r="B499" s="9" t="str">
        <f t="shared" si="14"/>
        <v>13121710</v>
      </c>
      <c r="C499" s="9" t="str">
        <f>VLOOKUP(B499,COA!A:B,2,FALSE)</f>
        <v>BNYM MO - First Tech</v>
      </c>
      <c r="D499" s="338" t="str">
        <f t="shared" si="15"/>
        <v>C1312</v>
      </c>
      <c r="E499" s="338" t="s">
        <v>6885</v>
      </c>
      <c r="G499" s="338">
        <v>0</v>
      </c>
      <c r="H499" s="204" t="s">
        <v>77</v>
      </c>
      <c r="I499" s="204" t="s">
        <v>7362</v>
      </c>
    </row>
    <row r="500" spans="1:9" x14ac:dyDescent="0.25">
      <c r="A500" s="204" t="s">
        <v>567</v>
      </c>
      <c r="B500" s="9" t="str">
        <f t="shared" si="14"/>
        <v>13121712</v>
      </c>
      <c r="C500" s="9" t="str">
        <f>VLOOKUP(B500,COA!A:B,2,FALSE)</f>
        <v>BNYM MO - Penn Credit</v>
      </c>
      <c r="D500" s="338" t="str">
        <f t="shared" si="15"/>
        <v>C1312</v>
      </c>
      <c r="E500" s="338" t="s">
        <v>6885</v>
      </c>
      <c r="G500" s="338">
        <v>0</v>
      </c>
      <c r="H500" s="204" t="s">
        <v>77</v>
      </c>
      <c r="I500" s="204" t="s">
        <v>7362</v>
      </c>
    </row>
    <row r="501" spans="1:9" x14ac:dyDescent="0.25">
      <c r="A501" s="204" t="s">
        <v>568</v>
      </c>
      <c r="B501" s="9" t="str">
        <f t="shared" si="14"/>
        <v>13121713</v>
      </c>
      <c r="C501" s="9" t="str">
        <f>VLOOKUP(B501,COA!A:B,2,FALSE)</f>
        <v>BNYM MO - E-Return - Mellon</v>
      </c>
      <c r="D501" s="338" t="str">
        <f t="shared" si="15"/>
        <v>C1312</v>
      </c>
      <c r="E501" s="338" t="s">
        <v>6885</v>
      </c>
      <c r="G501" s="338">
        <v>0</v>
      </c>
      <c r="H501" s="204" t="s">
        <v>77</v>
      </c>
      <c r="I501" s="204" t="s">
        <v>7362</v>
      </c>
    </row>
    <row r="502" spans="1:9" x14ac:dyDescent="0.25">
      <c r="A502" s="204" t="s">
        <v>569</v>
      </c>
      <c r="B502" s="9" t="str">
        <f t="shared" si="14"/>
        <v>13121714</v>
      </c>
      <c r="C502" s="9" t="str">
        <f>VLOOKUP(B502,COA!A:B,2,FALSE)</f>
        <v>BNYM MO -Credit Card &amp; Echeck E-Returns</v>
      </c>
      <c r="D502" s="338" t="str">
        <f t="shared" si="15"/>
        <v>C1312</v>
      </c>
      <c r="E502" s="338" t="s">
        <v>6885</v>
      </c>
      <c r="G502" s="338">
        <v>0</v>
      </c>
      <c r="H502" s="204" t="s">
        <v>77</v>
      </c>
      <c r="I502" s="204" t="s">
        <v>7362</v>
      </c>
    </row>
    <row r="503" spans="1:9" x14ac:dyDescent="0.25">
      <c r="A503" s="204" t="s">
        <v>570</v>
      </c>
      <c r="B503" s="9" t="str">
        <f t="shared" si="14"/>
        <v>13121715</v>
      </c>
      <c r="C503" s="9" t="str">
        <f>VLOOKUP(B503,COA!A:B,2,FALSE)</f>
        <v>BNYM MO - Customer A/R Ck Conversion</v>
      </c>
      <c r="D503" s="338" t="str">
        <f t="shared" si="15"/>
        <v>C1312</v>
      </c>
      <c r="E503" s="338" t="s">
        <v>6885</v>
      </c>
      <c r="G503" s="338">
        <v>0</v>
      </c>
      <c r="H503" s="204" t="s">
        <v>77</v>
      </c>
      <c r="I503" s="204" t="s">
        <v>7362</v>
      </c>
    </row>
    <row r="504" spans="1:9" x14ac:dyDescent="0.25">
      <c r="A504" s="204" t="s">
        <v>571</v>
      </c>
      <c r="B504" s="9" t="str">
        <f t="shared" si="14"/>
        <v>13121716</v>
      </c>
      <c r="C504" s="9" t="str">
        <f>VLOOKUP(B504,COA!A:B,2,FALSE)</f>
        <v>BNYM MO - NSF Return Payments</v>
      </c>
      <c r="D504" s="338" t="str">
        <f t="shared" si="15"/>
        <v>C1312</v>
      </c>
      <c r="E504" s="338" t="s">
        <v>6885</v>
      </c>
      <c r="G504" s="338">
        <v>0</v>
      </c>
      <c r="H504" s="204" t="s">
        <v>77</v>
      </c>
      <c r="I504" s="204" t="s">
        <v>7362</v>
      </c>
    </row>
    <row r="505" spans="1:9" x14ac:dyDescent="0.25">
      <c r="A505" s="204" t="s">
        <v>572</v>
      </c>
      <c r="B505" s="9" t="str">
        <f t="shared" si="14"/>
        <v>13121717</v>
      </c>
      <c r="C505" s="9" t="str">
        <f>VLOOKUP(B505,COA!A:B,2,FALSE)</f>
        <v>BNYM MO - Misc Debits/Credits</v>
      </c>
      <c r="D505" s="338" t="str">
        <f t="shared" si="15"/>
        <v>C1312</v>
      </c>
      <c r="E505" s="338" t="s">
        <v>6885</v>
      </c>
      <c r="G505" s="338">
        <v>0</v>
      </c>
      <c r="H505" s="204" t="s">
        <v>77</v>
      </c>
      <c r="I505" s="204" t="s">
        <v>7362</v>
      </c>
    </row>
    <row r="506" spans="1:9" x14ac:dyDescent="0.25">
      <c r="A506" s="204" t="s">
        <v>573</v>
      </c>
      <c r="B506" s="9" t="str">
        <f t="shared" si="14"/>
        <v>13121718</v>
      </c>
      <c r="C506" s="9" t="str">
        <f>VLOOKUP(B506,COA!A:B,2,FALSE)</f>
        <v>BNYM MO - Client Services - 3rd Party Collections</v>
      </c>
      <c r="D506" s="338" t="str">
        <f t="shared" si="15"/>
        <v>C1312</v>
      </c>
      <c r="E506" s="338" t="s">
        <v>6885</v>
      </c>
      <c r="G506" s="338">
        <v>0</v>
      </c>
      <c r="H506" s="204" t="s">
        <v>77</v>
      </c>
      <c r="I506" s="204" t="s">
        <v>7362</v>
      </c>
    </row>
    <row r="507" spans="1:9" x14ac:dyDescent="0.25">
      <c r="A507" s="204" t="s">
        <v>574</v>
      </c>
      <c r="B507" s="9" t="str">
        <f t="shared" si="14"/>
        <v>13121800</v>
      </c>
      <c r="C507" s="9" t="str">
        <f>VLOOKUP(B507,COA!A:B,2,FALSE)</f>
        <v>BNYM NJ</v>
      </c>
      <c r="D507" s="338" t="str">
        <f t="shared" si="15"/>
        <v>C1312</v>
      </c>
      <c r="E507" s="338" t="s">
        <v>6885</v>
      </c>
      <c r="G507" s="338">
        <v>0</v>
      </c>
      <c r="H507" s="204" t="s">
        <v>77</v>
      </c>
      <c r="I507" s="204" t="s">
        <v>7362</v>
      </c>
    </row>
    <row r="508" spans="1:9" x14ac:dyDescent="0.25">
      <c r="A508" s="204" t="s">
        <v>575</v>
      </c>
      <c r="B508" s="9" t="str">
        <f t="shared" si="14"/>
        <v>13121801</v>
      </c>
      <c r="C508" s="9" t="str">
        <f>VLOOKUP(B508,COA!A:B,2,FALSE)</f>
        <v>BNYM NJ - Outbound Wire</v>
      </c>
      <c r="D508" s="338" t="str">
        <f t="shared" si="15"/>
        <v>C1312</v>
      </c>
      <c r="E508" s="338" t="s">
        <v>6885</v>
      </c>
      <c r="G508" s="338">
        <v>0</v>
      </c>
      <c r="H508" s="204" t="s">
        <v>77</v>
      </c>
      <c r="I508" s="204" t="s">
        <v>7362</v>
      </c>
    </row>
    <row r="509" spans="1:9" x14ac:dyDescent="0.25">
      <c r="A509" s="204" t="s">
        <v>576</v>
      </c>
      <c r="B509" s="9" t="str">
        <f t="shared" si="14"/>
        <v>13121804</v>
      </c>
      <c r="C509" s="9" t="str">
        <f>VLOOKUP(B509,COA!A:B,2,FALSE)</f>
        <v>BNYM NJ - Inbound Wires &amp; ACH</v>
      </c>
      <c r="D509" s="338" t="str">
        <f t="shared" si="15"/>
        <v>C1312</v>
      </c>
      <c r="E509" s="338" t="s">
        <v>6885</v>
      </c>
      <c r="G509" s="338">
        <v>0</v>
      </c>
      <c r="H509" s="204" t="s">
        <v>77</v>
      </c>
      <c r="I509" s="204" t="s">
        <v>7362</v>
      </c>
    </row>
    <row r="510" spans="1:9" x14ac:dyDescent="0.25">
      <c r="A510" s="204" t="s">
        <v>577</v>
      </c>
      <c r="B510" s="9" t="str">
        <f t="shared" si="14"/>
        <v>13121806</v>
      </c>
      <c r="C510" s="9" t="str">
        <f>VLOOKUP(B510,COA!A:B,2,FALSE)</f>
        <v>BNYM NJ - Customer Direct Debit</v>
      </c>
      <c r="D510" s="338" t="str">
        <f t="shared" si="15"/>
        <v>C1312</v>
      </c>
      <c r="E510" s="338" t="s">
        <v>6885</v>
      </c>
      <c r="G510" s="338">
        <v>0</v>
      </c>
      <c r="H510" s="204" t="s">
        <v>77</v>
      </c>
      <c r="I510" s="204" t="s">
        <v>7362</v>
      </c>
    </row>
    <row r="511" spans="1:9" x14ac:dyDescent="0.25">
      <c r="A511" s="204" t="s">
        <v>578</v>
      </c>
      <c r="B511" s="9" t="str">
        <f t="shared" si="14"/>
        <v>13121807</v>
      </c>
      <c r="C511" s="9" t="str">
        <f>VLOOKUP(B511,COA!A:B,2,FALSE)</f>
        <v>BNYM NJ - Customer ACH</v>
      </c>
      <c r="D511" s="338" t="str">
        <f t="shared" si="15"/>
        <v>C1312</v>
      </c>
      <c r="E511" s="338" t="s">
        <v>6885</v>
      </c>
      <c r="G511" s="338">
        <v>0</v>
      </c>
      <c r="H511" s="204" t="s">
        <v>77</v>
      </c>
      <c r="I511" s="204" t="s">
        <v>7362</v>
      </c>
    </row>
    <row r="512" spans="1:9" x14ac:dyDescent="0.25">
      <c r="A512" s="204" t="s">
        <v>579</v>
      </c>
      <c r="B512" s="9" t="str">
        <f t="shared" si="14"/>
        <v>13121808</v>
      </c>
      <c r="C512" s="9" t="str">
        <f>VLOOKUP(B512,COA!A:B,2,FALSE)</f>
        <v>BNYM NJ - Customer Lockbox</v>
      </c>
      <c r="D512" s="338" t="str">
        <f t="shared" si="15"/>
        <v>C1312</v>
      </c>
      <c r="E512" s="338" t="s">
        <v>6885</v>
      </c>
      <c r="G512" s="338">
        <v>0</v>
      </c>
      <c r="H512" s="204" t="s">
        <v>77</v>
      </c>
      <c r="I512" s="204" t="s">
        <v>7362</v>
      </c>
    </row>
    <row r="513" spans="1:9" x14ac:dyDescent="0.25">
      <c r="A513" s="204" t="s">
        <v>580</v>
      </c>
      <c r="B513" s="9" t="str">
        <f t="shared" si="14"/>
        <v>13121809</v>
      </c>
      <c r="C513" s="9" t="str">
        <f>VLOOKUP(B513,COA!A:B,2,FALSE)</f>
        <v>BNYM NJ - Credit Card and E-Checks</v>
      </c>
      <c r="D513" s="338" t="str">
        <f t="shared" si="15"/>
        <v>C1312</v>
      </c>
      <c r="E513" s="338" t="s">
        <v>6885</v>
      </c>
      <c r="G513" s="338">
        <v>0</v>
      </c>
      <c r="H513" s="204" t="s">
        <v>77</v>
      </c>
      <c r="I513" s="204" t="s">
        <v>7362</v>
      </c>
    </row>
    <row r="514" spans="1:9" x14ac:dyDescent="0.25">
      <c r="A514" s="204" t="s">
        <v>581</v>
      </c>
      <c r="B514" s="9" t="str">
        <f t="shared" si="14"/>
        <v>13121811</v>
      </c>
      <c r="C514" s="9" t="str">
        <f>VLOOKUP(B514,COA!A:B,2,FALSE)</f>
        <v>BNYM NJ - FiServ (fka CheckFree)</v>
      </c>
      <c r="D514" s="338" t="str">
        <f t="shared" si="15"/>
        <v>C1312</v>
      </c>
      <c r="E514" s="338" t="s">
        <v>6885</v>
      </c>
      <c r="G514" s="338">
        <v>0</v>
      </c>
      <c r="H514" s="204" t="s">
        <v>77</v>
      </c>
      <c r="I514" s="204" t="s">
        <v>7362</v>
      </c>
    </row>
    <row r="515" spans="1:9" x14ac:dyDescent="0.25">
      <c r="A515" s="204" t="s">
        <v>582</v>
      </c>
      <c r="B515" s="9" t="str">
        <f t="shared" si="14"/>
        <v>13121812</v>
      </c>
      <c r="C515" s="9" t="str">
        <f>VLOOKUP(B515,COA!A:B,2,FALSE)</f>
        <v>BNYM NJ - Penn Credit</v>
      </c>
      <c r="D515" s="338" t="str">
        <f t="shared" si="15"/>
        <v>C1312</v>
      </c>
      <c r="E515" s="338" t="s">
        <v>6885</v>
      </c>
      <c r="G515" s="338">
        <v>0</v>
      </c>
      <c r="H515" s="204" t="s">
        <v>77</v>
      </c>
      <c r="I515" s="204" t="s">
        <v>7362</v>
      </c>
    </row>
    <row r="516" spans="1:9" x14ac:dyDescent="0.25">
      <c r="A516" s="204" t="s">
        <v>583</v>
      </c>
      <c r="B516" s="9" t="str">
        <f t="shared" si="14"/>
        <v>13121813</v>
      </c>
      <c r="C516" s="9" t="str">
        <f>VLOOKUP(B516,COA!A:B,2,FALSE)</f>
        <v>BNYM NJ - E-Return - Mellon</v>
      </c>
      <c r="D516" s="338" t="str">
        <f t="shared" si="15"/>
        <v>C1312</v>
      </c>
      <c r="E516" s="338" t="s">
        <v>6885</v>
      </c>
      <c r="G516" s="338">
        <v>0</v>
      </c>
      <c r="H516" s="204" t="s">
        <v>77</v>
      </c>
      <c r="I516" s="204" t="s">
        <v>7362</v>
      </c>
    </row>
    <row r="517" spans="1:9" x14ac:dyDescent="0.25">
      <c r="A517" s="204" t="s">
        <v>584</v>
      </c>
      <c r="B517" s="9" t="str">
        <f t="shared" si="14"/>
        <v>13121814</v>
      </c>
      <c r="C517" s="9" t="str">
        <f>VLOOKUP(B517,COA!A:B,2,FALSE)</f>
        <v>BNYM NJ - Credit Card &amp; Echeck E-Returns</v>
      </c>
      <c r="D517" s="338" t="str">
        <f t="shared" si="15"/>
        <v>C1312</v>
      </c>
      <c r="E517" s="338" t="s">
        <v>6885</v>
      </c>
      <c r="G517" s="338">
        <v>0</v>
      </c>
      <c r="H517" s="204" t="s">
        <v>77</v>
      </c>
      <c r="I517" s="204" t="s">
        <v>7362</v>
      </c>
    </row>
    <row r="518" spans="1:9" x14ac:dyDescent="0.25">
      <c r="A518" s="204" t="s">
        <v>585</v>
      </c>
      <c r="B518" s="9" t="str">
        <f t="shared" si="14"/>
        <v>13121815</v>
      </c>
      <c r="C518" s="9" t="str">
        <f>VLOOKUP(B518,COA!A:B,2,FALSE)</f>
        <v>BNYM NJ - Customer A/R Ck Conversion</v>
      </c>
      <c r="D518" s="338" t="str">
        <f t="shared" si="15"/>
        <v>C1312</v>
      </c>
      <c r="E518" s="338" t="s">
        <v>6885</v>
      </c>
      <c r="G518" s="338">
        <v>0</v>
      </c>
      <c r="H518" s="204" t="s">
        <v>77</v>
      </c>
      <c r="I518" s="204" t="s">
        <v>7362</v>
      </c>
    </row>
    <row r="519" spans="1:9" x14ac:dyDescent="0.25">
      <c r="A519" s="204" t="s">
        <v>586</v>
      </c>
      <c r="B519" s="9" t="str">
        <f t="shared" si="14"/>
        <v>13121816</v>
      </c>
      <c r="C519" s="9" t="str">
        <f>VLOOKUP(B519,COA!A:B,2,FALSE)</f>
        <v>BNYM NJ - NSF Return Payments</v>
      </c>
      <c r="D519" s="338" t="str">
        <f t="shared" si="15"/>
        <v>C1312</v>
      </c>
      <c r="E519" s="338" t="s">
        <v>6885</v>
      </c>
      <c r="G519" s="338">
        <v>0</v>
      </c>
      <c r="H519" s="204" t="s">
        <v>77</v>
      </c>
      <c r="I519" s="204" t="s">
        <v>7362</v>
      </c>
    </row>
    <row r="520" spans="1:9" x14ac:dyDescent="0.25">
      <c r="A520" s="204" t="s">
        <v>587</v>
      </c>
      <c r="B520" s="9" t="str">
        <f t="shared" si="14"/>
        <v>13121817</v>
      </c>
      <c r="C520" s="9" t="str">
        <f>VLOOKUP(B520,COA!A:B,2,FALSE)</f>
        <v>BNYM NJ - Misc Debits/Credits</v>
      </c>
      <c r="D520" s="338" t="str">
        <f t="shared" si="15"/>
        <v>C1312</v>
      </c>
      <c r="E520" s="338" t="s">
        <v>6885</v>
      </c>
      <c r="G520" s="338">
        <v>0</v>
      </c>
      <c r="H520" s="204" t="s">
        <v>77</v>
      </c>
      <c r="I520" s="204" t="s">
        <v>7362</v>
      </c>
    </row>
    <row r="521" spans="1:9" x14ac:dyDescent="0.25">
      <c r="A521" s="204" t="s">
        <v>588</v>
      </c>
      <c r="B521" s="9" t="str">
        <f t="shared" ref="B521:B584" si="16">RIGHT(A521,8)</f>
        <v>13121818</v>
      </c>
      <c r="C521" s="9" t="str">
        <f>VLOOKUP(B521,COA!A:B,2,FALSE)</f>
        <v>BNYM NJ - Client Services - 3rd Party Collections</v>
      </c>
      <c r="D521" s="338" t="str">
        <f t="shared" si="15"/>
        <v>C1312</v>
      </c>
      <c r="E521" s="338" t="s">
        <v>6885</v>
      </c>
      <c r="G521" s="338">
        <v>0</v>
      </c>
      <c r="H521" s="204" t="s">
        <v>77</v>
      </c>
      <c r="I521" s="204" t="s">
        <v>7362</v>
      </c>
    </row>
    <row r="522" spans="1:9" x14ac:dyDescent="0.25">
      <c r="A522" s="204" t="s">
        <v>589</v>
      </c>
      <c r="B522" s="9" t="str">
        <f t="shared" si="16"/>
        <v>13121900</v>
      </c>
      <c r="C522" s="9" t="str">
        <f>VLOOKUP(B522,COA!A:B,2,FALSE)</f>
        <v>BNYM NM</v>
      </c>
      <c r="D522" s="338" t="str">
        <f t="shared" si="15"/>
        <v>C1312</v>
      </c>
      <c r="E522" s="338" t="s">
        <v>6885</v>
      </c>
      <c r="G522" s="338">
        <v>0</v>
      </c>
      <c r="H522" s="204" t="s">
        <v>77</v>
      </c>
      <c r="I522" s="204" t="s">
        <v>7362</v>
      </c>
    </row>
    <row r="523" spans="1:9" x14ac:dyDescent="0.25">
      <c r="A523" s="204" t="s">
        <v>590</v>
      </c>
      <c r="B523" s="9" t="str">
        <f t="shared" si="16"/>
        <v>13121907</v>
      </c>
      <c r="C523" s="9" t="str">
        <f>VLOOKUP(B523,COA!A:B,2,FALSE)</f>
        <v>BNYM NM - Customer ACH</v>
      </c>
      <c r="D523" s="338" t="str">
        <f t="shared" ref="D523:D586" si="17">+I523</f>
        <v>C1312</v>
      </c>
      <c r="E523" s="338" t="s">
        <v>6885</v>
      </c>
      <c r="G523" s="338">
        <v>0</v>
      </c>
      <c r="H523" s="204" t="s">
        <v>77</v>
      </c>
      <c r="I523" s="204" t="s">
        <v>7362</v>
      </c>
    </row>
    <row r="524" spans="1:9" x14ac:dyDescent="0.25">
      <c r="A524" s="204" t="s">
        <v>591</v>
      </c>
      <c r="B524" s="9" t="str">
        <f t="shared" si="16"/>
        <v>13121908</v>
      </c>
      <c r="C524" s="9" t="str">
        <f>VLOOKUP(B524,COA!A:B,2,FALSE)</f>
        <v>BNYM NM - Customer Lockbox</v>
      </c>
      <c r="D524" s="338" t="str">
        <f t="shared" si="17"/>
        <v>C1312</v>
      </c>
      <c r="E524" s="338" t="s">
        <v>6885</v>
      </c>
      <c r="G524" s="338">
        <v>0</v>
      </c>
      <c r="H524" s="204" t="s">
        <v>77</v>
      </c>
      <c r="I524" s="204" t="s">
        <v>7362</v>
      </c>
    </row>
    <row r="525" spans="1:9" x14ac:dyDescent="0.25">
      <c r="A525" s="204" t="s">
        <v>592</v>
      </c>
      <c r="B525" s="9" t="str">
        <f t="shared" si="16"/>
        <v>13121916</v>
      </c>
      <c r="C525" s="9" t="str">
        <f>VLOOKUP(B525,COA!A:B,2,FALSE)</f>
        <v>BNYM NM - NSF Return Payments</v>
      </c>
      <c r="D525" s="338" t="str">
        <f t="shared" si="17"/>
        <v>C1312</v>
      </c>
      <c r="E525" s="338" t="s">
        <v>6885</v>
      </c>
      <c r="G525" s="338">
        <v>0</v>
      </c>
      <c r="H525" s="204" t="s">
        <v>77</v>
      </c>
      <c r="I525" s="204" t="s">
        <v>7362</v>
      </c>
    </row>
    <row r="526" spans="1:9" x14ac:dyDescent="0.25">
      <c r="A526" s="204" t="s">
        <v>593</v>
      </c>
      <c r="B526" s="9" t="str">
        <f t="shared" si="16"/>
        <v>13121917</v>
      </c>
      <c r="C526" s="9" t="str">
        <f>VLOOKUP(B526,COA!A:B,2,FALSE)</f>
        <v>BNYM NM - Misc Debits/Credits</v>
      </c>
      <c r="D526" s="338" t="str">
        <f t="shared" si="17"/>
        <v>C1312</v>
      </c>
      <c r="E526" s="338" t="s">
        <v>6885</v>
      </c>
      <c r="G526" s="338">
        <v>0</v>
      </c>
      <c r="H526" s="204" t="s">
        <v>77</v>
      </c>
      <c r="I526" s="204" t="s">
        <v>7362</v>
      </c>
    </row>
    <row r="527" spans="1:9" x14ac:dyDescent="0.25">
      <c r="A527" s="204" t="s">
        <v>594</v>
      </c>
      <c r="B527" s="9" t="str">
        <f t="shared" si="16"/>
        <v>13122200</v>
      </c>
      <c r="C527" s="9" t="str">
        <f>VLOOKUP(B527,COA!A:B,2,FALSE)</f>
        <v>BNYM OH</v>
      </c>
      <c r="D527" s="338" t="str">
        <f t="shared" si="17"/>
        <v>C1312</v>
      </c>
      <c r="E527" s="338" t="s">
        <v>6885</v>
      </c>
      <c r="G527" s="338">
        <v>0</v>
      </c>
      <c r="H527" s="204" t="s">
        <v>77</v>
      </c>
      <c r="I527" s="204" t="s">
        <v>7362</v>
      </c>
    </row>
    <row r="528" spans="1:9" x14ac:dyDescent="0.25">
      <c r="A528" s="204" t="s">
        <v>595</v>
      </c>
      <c r="B528" s="9" t="str">
        <f t="shared" si="16"/>
        <v>13122207</v>
      </c>
      <c r="C528" s="9" t="str">
        <f>VLOOKUP(B528,COA!A:B,2,FALSE)</f>
        <v>BNYM OH - Customer ACH</v>
      </c>
      <c r="D528" s="338" t="str">
        <f t="shared" si="17"/>
        <v>C1312</v>
      </c>
      <c r="E528" s="338" t="s">
        <v>6885</v>
      </c>
      <c r="G528" s="338">
        <v>0</v>
      </c>
      <c r="H528" s="204" t="s">
        <v>77</v>
      </c>
      <c r="I528" s="204" t="s">
        <v>7362</v>
      </c>
    </row>
    <row r="529" spans="1:9" x14ac:dyDescent="0.25">
      <c r="A529" s="204" t="s">
        <v>596</v>
      </c>
      <c r="B529" s="9" t="str">
        <f t="shared" si="16"/>
        <v>13122208</v>
      </c>
      <c r="C529" s="9" t="str">
        <f>VLOOKUP(B529,COA!A:B,2,FALSE)</f>
        <v>BNYM OH - Customer Lockbox</v>
      </c>
      <c r="D529" s="338" t="str">
        <f t="shared" si="17"/>
        <v>C1312</v>
      </c>
      <c r="E529" s="338" t="s">
        <v>6885</v>
      </c>
      <c r="G529" s="338">
        <v>0</v>
      </c>
      <c r="H529" s="204" t="s">
        <v>77</v>
      </c>
      <c r="I529" s="204" t="s">
        <v>7362</v>
      </c>
    </row>
    <row r="530" spans="1:9" x14ac:dyDescent="0.25">
      <c r="A530" s="204" t="s">
        <v>597</v>
      </c>
      <c r="B530" s="9" t="str">
        <f t="shared" si="16"/>
        <v>13122216</v>
      </c>
      <c r="C530" s="9" t="str">
        <f>VLOOKUP(B530,COA!A:B,2,FALSE)</f>
        <v>BNYM OH - NSF Return Payments</v>
      </c>
      <c r="D530" s="338" t="str">
        <f t="shared" si="17"/>
        <v>C1312</v>
      </c>
      <c r="E530" s="338" t="s">
        <v>6885</v>
      </c>
      <c r="G530" s="338">
        <v>0</v>
      </c>
      <c r="H530" s="204" t="s">
        <v>77</v>
      </c>
      <c r="I530" s="204" t="s">
        <v>7362</v>
      </c>
    </row>
    <row r="531" spans="1:9" x14ac:dyDescent="0.25">
      <c r="A531" s="204" t="s">
        <v>598</v>
      </c>
      <c r="B531" s="9" t="str">
        <f t="shared" si="16"/>
        <v>13122217</v>
      </c>
      <c r="C531" s="9" t="str">
        <f>VLOOKUP(B531,COA!A:B,2,FALSE)</f>
        <v>BNYM OH - Misc Debits/Credits</v>
      </c>
      <c r="D531" s="338" t="str">
        <f t="shared" si="17"/>
        <v>C1312</v>
      </c>
      <c r="E531" s="338" t="s">
        <v>6885</v>
      </c>
      <c r="G531" s="338">
        <v>0</v>
      </c>
      <c r="H531" s="204" t="s">
        <v>77</v>
      </c>
      <c r="I531" s="204" t="s">
        <v>7362</v>
      </c>
    </row>
    <row r="532" spans="1:9" x14ac:dyDescent="0.25">
      <c r="A532" s="204" t="s">
        <v>599</v>
      </c>
      <c r="B532" s="9" t="str">
        <f t="shared" si="16"/>
        <v>13122300</v>
      </c>
      <c r="C532" s="9" t="str">
        <f>VLOOKUP(B532,COA!A:B,2,FALSE)</f>
        <v>BNYM AZ</v>
      </c>
      <c r="D532" s="338" t="str">
        <f t="shared" si="17"/>
        <v>C1312</v>
      </c>
      <c r="E532" s="338" t="s">
        <v>6885</v>
      </c>
      <c r="G532" s="338">
        <v>0</v>
      </c>
      <c r="H532" s="204" t="s">
        <v>77</v>
      </c>
      <c r="I532" s="204" t="s">
        <v>7362</v>
      </c>
    </row>
    <row r="533" spans="1:9" x14ac:dyDescent="0.25">
      <c r="A533" s="204" t="s">
        <v>600</v>
      </c>
      <c r="B533" s="9" t="str">
        <f t="shared" si="16"/>
        <v>13122307</v>
      </c>
      <c r="C533" s="9" t="str">
        <f>VLOOKUP(B533,COA!A:B,2,FALSE)</f>
        <v>BNYM AZ - Customer ACH</v>
      </c>
      <c r="D533" s="338" t="str">
        <f t="shared" si="17"/>
        <v>C1312</v>
      </c>
      <c r="E533" s="338" t="s">
        <v>6885</v>
      </c>
      <c r="G533" s="338">
        <v>0</v>
      </c>
      <c r="H533" s="204" t="s">
        <v>77</v>
      </c>
      <c r="I533" s="204" t="s">
        <v>7362</v>
      </c>
    </row>
    <row r="534" spans="1:9" x14ac:dyDescent="0.25">
      <c r="A534" s="204" t="s">
        <v>601</v>
      </c>
      <c r="B534" s="9" t="str">
        <f t="shared" si="16"/>
        <v>13122308</v>
      </c>
      <c r="C534" s="9" t="str">
        <f>VLOOKUP(B534,COA!A:B,2,FALSE)</f>
        <v>BNYM AZ - Customer Lockbox</v>
      </c>
      <c r="D534" s="338" t="str">
        <f t="shared" si="17"/>
        <v>C1312</v>
      </c>
      <c r="E534" s="338" t="s">
        <v>6885</v>
      </c>
      <c r="G534" s="338">
        <v>0</v>
      </c>
      <c r="H534" s="204" t="s">
        <v>77</v>
      </c>
      <c r="I534" s="204" t="s">
        <v>7362</v>
      </c>
    </row>
    <row r="535" spans="1:9" x14ac:dyDescent="0.25">
      <c r="A535" s="204" t="s">
        <v>602</v>
      </c>
      <c r="B535" s="9" t="str">
        <f t="shared" si="16"/>
        <v>13122316</v>
      </c>
      <c r="C535" s="9" t="str">
        <f>VLOOKUP(B535,COA!A:B,2,FALSE)</f>
        <v>BNYM AZ - NSF Return Payments</v>
      </c>
      <c r="D535" s="338" t="str">
        <f t="shared" si="17"/>
        <v>C1312</v>
      </c>
      <c r="E535" s="338" t="s">
        <v>6885</v>
      </c>
      <c r="G535" s="338">
        <v>0</v>
      </c>
      <c r="H535" s="204" t="s">
        <v>77</v>
      </c>
      <c r="I535" s="204" t="s">
        <v>7362</v>
      </c>
    </row>
    <row r="536" spans="1:9" x14ac:dyDescent="0.25">
      <c r="A536" s="204" t="s">
        <v>603</v>
      </c>
      <c r="B536" s="9" t="str">
        <f t="shared" si="16"/>
        <v>13122317</v>
      </c>
      <c r="C536" s="9" t="str">
        <f>VLOOKUP(B536,COA!A:B,2,FALSE)</f>
        <v>BNYM AZ - Misc Debits/Credits</v>
      </c>
      <c r="D536" s="338" t="str">
        <f t="shared" si="17"/>
        <v>C1312</v>
      </c>
      <c r="E536" s="338" t="s">
        <v>6885</v>
      </c>
      <c r="G536" s="338">
        <v>0</v>
      </c>
      <c r="H536" s="204" t="s">
        <v>77</v>
      </c>
      <c r="I536" s="204" t="s">
        <v>7362</v>
      </c>
    </row>
    <row r="537" spans="1:9" x14ac:dyDescent="0.25">
      <c r="A537" s="204" t="s">
        <v>604</v>
      </c>
      <c r="B537" s="9" t="str">
        <f t="shared" si="16"/>
        <v>13122400</v>
      </c>
      <c r="C537" s="9" t="str">
        <f>VLOOKUP(B537,COA!A:B,2,FALSE)</f>
        <v>BNYM PA</v>
      </c>
      <c r="D537" s="338" t="str">
        <f t="shared" si="17"/>
        <v>C1312</v>
      </c>
      <c r="E537" s="338" t="s">
        <v>6885</v>
      </c>
      <c r="G537" s="338">
        <v>0</v>
      </c>
      <c r="H537" s="204" t="s">
        <v>77</v>
      </c>
      <c r="I537" s="204" t="s">
        <v>7362</v>
      </c>
    </row>
    <row r="538" spans="1:9" x14ac:dyDescent="0.25">
      <c r="A538" s="204" t="s">
        <v>605</v>
      </c>
      <c r="B538" s="9" t="str">
        <f t="shared" si="16"/>
        <v>13122401</v>
      </c>
      <c r="C538" s="9" t="str">
        <f>VLOOKUP(B538,COA!A:B,2,FALSE)</f>
        <v>BNYM PA - Outbound Wire</v>
      </c>
      <c r="D538" s="338" t="str">
        <f t="shared" si="17"/>
        <v>C1312</v>
      </c>
      <c r="E538" s="338" t="s">
        <v>6885</v>
      </c>
      <c r="G538" s="338">
        <v>0</v>
      </c>
      <c r="H538" s="204" t="s">
        <v>77</v>
      </c>
      <c r="I538" s="204" t="s">
        <v>7362</v>
      </c>
    </row>
    <row r="539" spans="1:9" x14ac:dyDescent="0.25">
      <c r="A539" s="204" t="s">
        <v>606</v>
      </c>
      <c r="B539" s="9" t="str">
        <f t="shared" si="16"/>
        <v>13122404</v>
      </c>
      <c r="C539" s="9" t="str">
        <f>VLOOKUP(B539,COA!A:B,2,FALSE)</f>
        <v>BNYM PA - Inbound Wires &amp; ACH</v>
      </c>
      <c r="D539" s="338" t="str">
        <f t="shared" si="17"/>
        <v>C1312</v>
      </c>
      <c r="E539" s="338" t="s">
        <v>6885</v>
      </c>
      <c r="G539" s="338">
        <v>0</v>
      </c>
      <c r="H539" s="204" t="s">
        <v>77</v>
      </c>
      <c r="I539" s="204" t="s">
        <v>7362</v>
      </c>
    </row>
    <row r="540" spans="1:9" x14ac:dyDescent="0.25">
      <c r="A540" s="204" t="s">
        <v>607</v>
      </c>
      <c r="B540" s="9" t="str">
        <f t="shared" si="16"/>
        <v>13122406</v>
      </c>
      <c r="C540" s="9" t="str">
        <f>VLOOKUP(B540,COA!A:B,2,FALSE)</f>
        <v>BNYM PA - Customer Direct Debit</v>
      </c>
      <c r="D540" s="338" t="str">
        <f t="shared" si="17"/>
        <v>C1312</v>
      </c>
      <c r="E540" s="338" t="s">
        <v>6885</v>
      </c>
      <c r="G540" s="338">
        <v>0</v>
      </c>
      <c r="H540" s="204" t="s">
        <v>77</v>
      </c>
      <c r="I540" s="204" t="s">
        <v>7362</v>
      </c>
    </row>
    <row r="541" spans="1:9" x14ac:dyDescent="0.25">
      <c r="A541" s="204" t="s">
        <v>608</v>
      </c>
      <c r="B541" s="9" t="str">
        <f t="shared" si="16"/>
        <v>13122407</v>
      </c>
      <c r="C541" s="9" t="str">
        <f>VLOOKUP(B541,COA!A:B,2,FALSE)</f>
        <v>BNYM PA - Customer ACH</v>
      </c>
      <c r="D541" s="338" t="str">
        <f t="shared" si="17"/>
        <v>C1312</v>
      </c>
      <c r="E541" s="338" t="s">
        <v>6885</v>
      </c>
      <c r="G541" s="338">
        <v>0</v>
      </c>
      <c r="H541" s="204" t="s">
        <v>77</v>
      </c>
      <c r="I541" s="204" t="s">
        <v>7362</v>
      </c>
    </row>
    <row r="542" spans="1:9" x14ac:dyDescent="0.25">
      <c r="A542" s="204" t="s">
        <v>609</v>
      </c>
      <c r="B542" s="9" t="str">
        <f t="shared" si="16"/>
        <v>13122408</v>
      </c>
      <c r="C542" s="9" t="str">
        <f>VLOOKUP(B542,COA!A:B,2,FALSE)</f>
        <v>BNYM PA - Customer Lockbox</v>
      </c>
      <c r="D542" s="338" t="str">
        <f t="shared" si="17"/>
        <v>C1312</v>
      </c>
      <c r="E542" s="338" t="s">
        <v>6885</v>
      </c>
      <c r="G542" s="338">
        <v>0</v>
      </c>
      <c r="H542" s="204" t="s">
        <v>77</v>
      </c>
      <c r="I542" s="204" t="s">
        <v>7362</v>
      </c>
    </row>
    <row r="543" spans="1:9" x14ac:dyDescent="0.25">
      <c r="A543" s="204" t="s">
        <v>610</v>
      </c>
      <c r="B543" s="9" t="str">
        <f t="shared" si="16"/>
        <v>13122409</v>
      </c>
      <c r="C543" s="9" t="str">
        <f>VLOOKUP(B543,COA!A:B,2,FALSE)</f>
        <v>BNYM PA - Credit Card and E-Checks</v>
      </c>
      <c r="D543" s="338" t="str">
        <f t="shared" si="17"/>
        <v>C1312</v>
      </c>
      <c r="E543" s="338" t="s">
        <v>6885</v>
      </c>
      <c r="G543" s="338">
        <v>0</v>
      </c>
      <c r="H543" s="204" t="s">
        <v>77</v>
      </c>
      <c r="I543" s="204" t="s">
        <v>7362</v>
      </c>
    </row>
    <row r="544" spans="1:9" x14ac:dyDescent="0.25">
      <c r="A544" s="204" t="s">
        <v>611</v>
      </c>
      <c r="B544" s="9" t="str">
        <f t="shared" si="16"/>
        <v>13122411</v>
      </c>
      <c r="C544" s="9" t="str">
        <f>VLOOKUP(B544,COA!A:B,2,FALSE)</f>
        <v>BNYM PA - FiServ (fka CheckFree)</v>
      </c>
      <c r="D544" s="338" t="str">
        <f t="shared" si="17"/>
        <v>C1312</v>
      </c>
      <c r="E544" s="338" t="s">
        <v>6885</v>
      </c>
      <c r="G544" s="338">
        <v>0</v>
      </c>
      <c r="H544" s="204" t="s">
        <v>77</v>
      </c>
      <c r="I544" s="204" t="s">
        <v>7362</v>
      </c>
    </row>
    <row r="545" spans="1:9" x14ac:dyDescent="0.25">
      <c r="A545" s="204" t="s">
        <v>612</v>
      </c>
      <c r="B545" s="9" t="str">
        <f t="shared" si="16"/>
        <v>13122412</v>
      </c>
      <c r="C545" s="9" t="str">
        <f>VLOOKUP(B545,COA!A:B,2,FALSE)</f>
        <v>BNYM PA - Penn Credit</v>
      </c>
      <c r="D545" s="338" t="str">
        <f t="shared" si="17"/>
        <v>C1312</v>
      </c>
      <c r="E545" s="338" t="s">
        <v>6885</v>
      </c>
      <c r="G545" s="338">
        <v>0</v>
      </c>
      <c r="H545" s="204" t="s">
        <v>77</v>
      </c>
      <c r="I545" s="204" t="s">
        <v>7362</v>
      </c>
    </row>
    <row r="546" spans="1:9" x14ac:dyDescent="0.25">
      <c r="A546" s="204" t="s">
        <v>613</v>
      </c>
      <c r="B546" s="9" t="str">
        <f t="shared" si="16"/>
        <v>13122413</v>
      </c>
      <c r="C546" s="9" t="str">
        <f>VLOOKUP(B546,COA!A:B,2,FALSE)</f>
        <v>BNYM PA - E-Return - Mellon</v>
      </c>
      <c r="D546" s="338" t="str">
        <f t="shared" si="17"/>
        <v>C1312</v>
      </c>
      <c r="E546" s="338" t="s">
        <v>6885</v>
      </c>
      <c r="G546" s="338">
        <v>0</v>
      </c>
      <c r="H546" s="204" t="s">
        <v>77</v>
      </c>
      <c r="I546" s="204" t="s">
        <v>7362</v>
      </c>
    </row>
    <row r="547" spans="1:9" x14ac:dyDescent="0.25">
      <c r="A547" s="204" t="s">
        <v>614</v>
      </c>
      <c r="B547" s="9" t="str">
        <f t="shared" si="16"/>
        <v>13122414</v>
      </c>
      <c r="C547" s="9" t="str">
        <f>VLOOKUP(B547,COA!A:B,2,FALSE)</f>
        <v>BNYM PA -Credit Card &amp; Echeck E-Returns</v>
      </c>
      <c r="D547" s="338" t="str">
        <f t="shared" si="17"/>
        <v>C1312</v>
      </c>
      <c r="E547" s="338" t="s">
        <v>6885</v>
      </c>
      <c r="G547" s="338">
        <v>0</v>
      </c>
      <c r="H547" s="204" t="s">
        <v>77</v>
      </c>
      <c r="I547" s="204" t="s">
        <v>7362</v>
      </c>
    </row>
    <row r="548" spans="1:9" x14ac:dyDescent="0.25">
      <c r="A548" s="204" t="s">
        <v>615</v>
      </c>
      <c r="B548" s="9" t="str">
        <f t="shared" si="16"/>
        <v>13122415</v>
      </c>
      <c r="C548" s="9" t="str">
        <f>VLOOKUP(B548,COA!A:B,2,FALSE)</f>
        <v>BNYM PA - Customer A/R Ck Conversion</v>
      </c>
      <c r="D548" s="338" t="str">
        <f t="shared" si="17"/>
        <v>C1312</v>
      </c>
      <c r="E548" s="338" t="s">
        <v>6885</v>
      </c>
      <c r="G548" s="338">
        <v>0</v>
      </c>
      <c r="H548" s="204" t="s">
        <v>77</v>
      </c>
      <c r="I548" s="204" t="s">
        <v>7362</v>
      </c>
    </row>
    <row r="549" spans="1:9" x14ac:dyDescent="0.25">
      <c r="A549" s="204" t="s">
        <v>616</v>
      </c>
      <c r="B549" s="9" t="str">
        <f t="shared" si="16"/>
        <v>13122416</v>
      </c>
      <c r="C549" s="9" t="str">
        <f>VLOOKUP(B549,COA!A:B,2,FALSE)</f>
        <v>BNYM PA - NSF Return Payments</v>
      </c>
      <c r="D549" s="338" t="str">
        <f t="shared" si="17"/>
        <v>C1312</v>
      </c>
      <c r="E549" s="338" t="s">
        <v>6885</v>
      </c>
      <c r="G549" s="338">
        <v>0</v>
      </c>
      <c r="H549" s="204" t="s">
        <v>77</v>
      </c>
      <c r="I549" s="204" t="s">
        <v>7362</v>
      </c>
    </row>
    <row r="550" spans="1:9" x14ac:dyDescent="0.25">
      <c r="A550" s="204" t="s">
        <v>617</v>
      </c>
      <c r="B550" s="9" t="str">
        <f t="shared" si="16"/>
        <v>13122417</v>
      </c>
      <c r="C550" s="9" t="str">
        <f>VLOOKUP(B550,COA!A:B,2,FALSE)</f>
        <v>BNYM PA - Misc Debits/Credits</v>
      </c>
      <c r="D550" s="338" t="str">
        <f t="shared" si="17"/>
        <v>C1312</v>
      </c>
      <c r="E550" s="338" t="s">
        <v>6885</v>
      </c>
      <c r="G550" s="338">
        <v>0</v>
      </c>
      <c r="H550" s="204" t="s">
        <v>77</v>
      </c>
      <c r="I550" s="204" t="s">
        <v>7362</v>
      </c>
    </row>
    <row r="551" spans="1:9" x14ac:dyDescent="0.25">
      <c r="A551" s="204" t="s">
        <v>618</v>
      </c>
      <c r="B551" s="9" t="str">
        <f t="shared" si="16"/>
        <v>13122418</v>
      </c>
      <c r="C551" s="9" t="str">
        <f>VLOOKUP(B551,COA!A:B,2,FALSE)</f>
        <v>BNYM PA - Client Services - 3rd Party Collections</v>
      </c>
      <c r="D551" s="338" t="str">
        <f t="shared" si="17"/>
        <v>C1312</v>
      </c>
      <c r="E551" s="338" t="s">
        <v>6885</v>
      </c>
      <c r="G551" s="338">
        <v>0</v>
      </c>
      <c r="H551" s="204" t="s">
        <v>77</v>
      </c>
      <c r="I551" s="204" t="s">
        <v>7362</v>
      </c>
    </row>
    <row r="552" spans="1:9" x14ac:dyDescent="0.25">
      <c r="A552" s="204" t="s">
        <v>619</v>
      </c>
      <c r="B552" s="9" t="str">
        <f t="shared" si="16"/>
        <v>13122500</v>
      </c>
      <c r="C552" s="9" t="str">
        <f>VLOOKUP(B552,COA!A:B,2,FALSE)</f>
        <v>BNYM IL - Main</v>
      </c>
      <c r="D552" s="338" t="str">
        <f t="shared" si="17"/>
        <v>C1312</v>
      </c>
      <c r="E552" s="338" t="s">
        <v>6885</v>
      </c>
      <c r="G552" s="338">
        <v>0</v>
      </c>
      <c r="H552" s="204" t="s">
        <v>77</v>
      </c>
      <c r="I552" s="204" t="s">
        <v>7362</v>
      </c>
    </row>
    <row r="553" spans="1:9" x14ac:dyDescent="0.25">
      <c r="A553" s="204" t="s">
        <v>620</v>
      </c>
      <c r="B553" s="9" t="str">
        <f t="shared" si="16"/>
        <v>13122501</v>
      </c>
      <c r="C553" s="9" t="str">
        <f>VLOOKUP(B553,COA!A:B,2,FALSE)</f>
        <v>BNYM IL - Outbound Wire</v>
      </c>
      <c r="D553" s="338" t="str">
        <f t="shared" si="17"/>
        <v>C1312</v>
      </c>
      <c r="E553" s="338" t="s">
        <v>6885</v>
      </c>
      <c r="G553" s="338">
        <v>0</v>
      </c>
      <c r="H553" s="204" t="s">
        <v>77</v>
      </c>
      <c r="I553" s="204" t="s">
        <v>7362</v>
      </c>
    </row>
    <row r="554" spans="1:9" x14ac:dyDescent="0.25">
      <c r="A554" s="204" t="s">
        <v>621</v>
      </c>
      <c r="B554" s="9" t="str">
        <f t="shared" si="16"/>
        <v>13122504</v>
      </c>
      <c r="C554" s="9" t="str">
        <f>VLOOKUP(B554,COA!A:B,2,FALSE)</f>
        <v>BNYM IL - Inbound Wires &amp; ACH</v>
      </c>
      <c r="D554" s="338" t="str">
        <f t="shared" si="17"/>
        <v>C1312</v>
      </c>
      <c r="E554" s="338" t="s">
        <v>6885</v>
      </c>
      <c r="G554" s="338">
        <v>0</v>
      </c>
      <c r="H554" s="204" t="s">
        <v>77</v>
      </c>
      <c r="I554" s="204" t="s">
        <v>7362</v>
      </c>
    </row>
    <row r="555" spans="1:9" x14ac:dyDescent="0.25">
      <c r="A555" s="204" t="s">
        <v>622</v>
      </c>
      <c r="B555" s="9" t="str">
        <f t="shared" si="16"/>
        <v>13122506</v>
      </c>
      <c r="C555" s="9" t="str">
        <f>VLOOKUP(B555,COA!A:B,2,FALSE)</f>
        <v>BNYM IL - Customer Direct Debit</v>
      </c>
      <c r="D555" s="338" t="str">
        <f t="shared" si="17"/>
        <v>C1312</v>
      </c>
      <c r="E555" s="338" t="s">
        <v>6885</v>
      </c>
      <c r="G555" s="338">
        <v>0</v>
      </c>
      <c r="H555" s="204" t="s">
        <v>77</v>
      </c>
      <c r="I555" s="204" t="s">
        <v>7362</v>
      </c>
    </row>
    <row r="556" spans="1:9" x14ac:dyDescent="0.25">
      <c r="A556" s="204" t="s">
        <v>623</v>
      </c>
      <c r="B556" s="9" t="str">
        <f t="shared" si="16"/>
        <v>13122507</v>
      </c>
      <c r="C556" s="9" t="str">
        <f>VLOOKUP(B556,COA!A:B,2,FALSE)</f>
        <v>BNYM IL - Customer ACH</v>
      </c>
      <c r="D556" s="338" t="str">
        <f t="shared" si="17"/>
        <v>C1312</v>
      </c>
      <c r="E556" s="338" t="s">
        <v>6885</v>
      </c>
      <c r="G556" s="338">
        <v>0</v>
      </c>
      <c r="H556" s="204" t="s">
        <v>77</v>
      </c>
      <c r="I556" s="204" t="s">
        <v>7362</v>
      </c>
    </row>
    <row r="557" spans="1:9" x14ac:dyDescent="0.25">
      <c r="A557" s="204" t="s">
        <v>624</v>
      </c>
      <c r="B557" s="9" t="str">
        <f t="shared" si="16"/>
        <v>13122508</v>
      </c>
      <c r="C557" s="9" t="str">
        <f>VLOOKUP(B557,COA!A:B,2,FALSE)</f>
        <v>BNYM IL - Customer Lockbox</v>
      </c>
      <c r="D557" s="338" t="str">
        <f t="shared" si="17"/>
        <v>C1312</v>
      </c>
      <c r="E557" s="338" t="s">
        <v>6885</v>
      </c>
      <c r="G557" s="338">
        <v>0</v>
      </c>
      <c r="H557" s="204" t="s">
        <v>77</v>
      </c>
      <c r="I557" s="204" t="s">
        <v>7362</v>
      </c>
    </row>
    <row r="558" spans="1:9" x14ac:dyDescent="0.25">
      <c r="A558" s="204" t="s">
        <v>625</v>
      </c>
      <c r="B558" s="9" t="str">
        <f t="shared" si="16"/>
        <v>13122509</v>
      </c>
      <c r="C558" s="9" t="str">
        <f>VLOOKUP(B558,COA!A:B,2,FALSE)</f>
        <v>BNYM IL - Credit Card and E-Checks</v>
      </c>
      <c r="D558" s="338" t="str">
        <f t="shared" si="17"/>
        <v>C1312</v>
      </c>
      <c r="E558" s="338" t="s">
        <v>6885</v>
      </c>
      <c r="G558" s="338">
        <v>0</v>
      </c>
      <c r="H558" s="204" t="s">
        <v>77</v>
      </c>
      <c r="I558" s="204" t="s">
        <v>7362</v>
      </c>
    </row>
    <row r="559" spans="1:9" x14ac:dyDescent="0.25">
      <c r="A559" s="204" t="s">
        <v>626</v>
      </c>
      <c r="B559" s="9" t="str">
        <f t="shared" si="16"/>
        <v>13122510</v>
      </c>
      <c r="C559" s="9" t="str">
        <f>VLOOKUP(B559,COA!A:B,2,FALSE)</f>
        <v>BNYM IL - First Tech</v>
      </c>
      <c r="D559" s="338" t="str">
        <f t="shared" si="17"/>
        <v>C1312</v>
      </c>
      <c r="E559" s="338" t="s">
        <v>6885</v>
      </c>
      <c r="G559" s="338">
        <v>0</v>
      </c>
      <c r="H559" s="204" t="s">
        <v>77</v>
      </c>
      <c r="I559" s="204" t="s">
        <v>7362</v>
      </c>
    </row>
    <row r="560" spans="1:9" x14ac:dyDescent="0.25">
      <c r="A560" s="204" t="s">
        <v>627</v>
      </c>
      <c r="B560" s="9" t="str">
        <f t="shared" si="16"/>
        <v>13122511</v>
      </c>
      <c r="C560" s="9" t="str">
        <f>VLOOKUP(B560,COA!A:B,2,FALSE)</f>
        <v>BNYM IL - FiServ (fka CheckFree)</v>
      </c>
      <c r="D560" s="338" t="str">
        <f t="shared" si="17"/>
        <v>C1312</v>
      </c>
      <c r="E560" s="338" t="s">
        <v>6885</v>
      </c>
      <c r="G560" s="338">
        <v>0</v>
      </c>
      <c r="H560" s="204" t="s">
        <v>77</v>
      </c>
      <c r="I560" s="204" t="s">
        <v>7362</v>
      </c>
    </row>
    <row r="561" spans="1:9" x14ac:dyDescent="0.25">
      <c r="A561" s="204" t="s">
        <v>628</v>
      </c>
      <c r="B561" s="9" t="str">
        <f t="shared" si="16"/>
        <v>13122512</v>
      </c>
      <c r="C561" s="9" t="str">
        <f>VLOOKUP(B561,COA!A:B,2,FALSE)</f>
        <v>BNYM IL - Penn Credit</v>
      </c>
      <c r="D561" s="338" t="str">
        <f t="shared" si="17"/>
        <v>C1312</v>
      </c>
      <c r="E561" s="338" t="s">
        <v>6885</v>
      </c>
      <c r="G561" s="338">
        <v>0</v>
      </c>
      <c r="H561" s="204" t="s">
        <v>77</v>
      </c>
      <c r="I561" s="204" t="s">
        <v>7362</v>
      </c>
    </row>
    <row r="562" spans="1:9" x14ac:dyDescent="0.25">
      <c r="A562" s="204" t="s">
        <v>629</v>
      </c>
      <c r="B562" s="9" t="str">
        <f t="shared" si="16"/>
        <v>13122513</v>
      </c>
      <c r="C562" s="9" t="str">
        <f>VLOOKUP(B562,COA!A:B,2,FALSE)</f>
        <v>BNYM IL - E-Return - Mellon</v>
      </c>
      <c r="D562" s="338" t="str">
        <f t="shared" si="17"/>
        <v>C1312</v>
      </c>
      <c r="E562" s="338" t="s">
        <v>6885</v>
      </c>
      <c r="G562" s="338">
        <v>0</v>
      </c>
      <c r="H562" s="204" t="s">
        <v>77</v>
      </c>
      <c r="I562" s="204" t="s">
        <v>7362</v>
      </c>
    </row>
    <row r="563" spans="1:9" x14ac:dyDescent="0.25">
      <c r="A563" s="204" t="s">
        <v>630</v>
      </c>
      <c r="B563" s="9" t="str">
        <f t="shared" si="16"/>
        <v>13122514</v>
      </c>
      <c r="C563" s="9" t="str">
        <f>VLOOKUP(B563,COA!A:B,2,FALSE)</f>
        <v>BNYM IL -Credit Card &amp; Echeck E-Returns</v>
      </c>
      <c r="D563" s="338" t="str">
        <f t="shared" si="17"/>
        <v>C1312</v>
      </c>
      <c r="E563" s="338" t="s">
        <v>6885</v>
      </c>
      <c r="G563" s="338">
        <v>0</v>
      </c>
      <c r="H563" s="204" t="s">
        <v>77</v>
      </c>
      <c r="I563" s="204" t="s">
        <v>7362</v>
      </c>
    </row>
    <row r="564" spans="1:9" x14ac:dyDescent="0.25">
      <c r="A564" s="204" t="s">
        <v>631</v>
      </c>
      <c r="B564" s="9" t="str">
        <f t="shared" si="16"/>
        <v>13122515</v>
      </c>
      <c r="C564" s="9" t="str">
        <f>VLOOKUP(B564,COA!A:B,2,FALSE)</f>
        <v>BNYM IL - Customer A/R Ck Conversion</v>
      </c>
      <c r="D564" s="338" t="str">
        <f t="shared" si="17"/>
        <v>C1312</v>
      </c>
      <c r="E564" s="338" t="s">
        <v>6885</v>
      </c>
      <c r="G564" s="338">
        <v>0</v>
      </c>
      <c r="H564" s="204" t="s">
        <v>77</v>
      </c>
      <c r="I564" s="204" t="s">
        <v>7362</v>
      </c>
    </row>
    <row r="565" spans="1:9" x14ac:dyDescent="0.25">
      <c r="A565" s="204" t="s">
        <v>632</v>
      </c>
      <c r="B565" s="9" t="str">
        <f t="shared" si="16"/>
        <v>13122516</v>
      </c>
      <c r="C565" s="9" t="str">
        <f>VLOOKUP(B565,COA!A:B,2,FALSE)</f>
        <v>BNYM IL - NSF Return Payments</v>
      </c>
      <c r="D565" s="338" t="str">
        <f t="shared" si="17"/>
        <v>C1312</v>
      </c>
      <c r="E565" s="338" t="s">
        <v>6885</v>
      </c>
      <c r="G565" s="338">
        <v>0</v>
      </c>
      <c r="H565" s="204" t="s">
        <v>77</v>
      </c>
      <c r="I565" s="204" t="s">
        <v>7362</v>
      </c>
    </row>
    <row r="566" spans="1:9" x14ac:dyDescent="0.25">
      <c r="A566" s="204" t="s">
        <v>633</v>
      </c>
      <c r="B566" s="9" t="str">
        <f t="shared" si="16"/>
        <v>13122517</v>
      </c>
      <c r="C566" s="9" t="str">
        <f>VLOOKUP(B566,COA!A:B,2,FALSE)</f>
        <v>BNYM IL - Misc Debits/Credits</v>
      </c>
      <c r="D566" s="338" t="str">
        <f t="shared" si="17"/>
        <v>C1312</v>
      </c>
      <c r="E566" s="338" t="s">
        <v>6885</v>
      </c>
      <c r="G566" s="338">
        <v>0</v>
      </c>
      <c r="H566" s="204" t="s">
        <v>77</v>
      </c>
      <c r="I566" s="204" t="s">
        <v>7362</v>
      </c>
    </row>
    <row r="567" spans="1:9" x14ac:dyDescent="0.25">
      <c r="A567" s="204" t="s">
        <v>634</v>
      </c>
      <c r="B567" s="9" t="str">
        <f t="shared" si="16"/>
        <v>13122518</v>
      </c>
      <c r="C567" s="9" t="str">
        <f>VLOOKUP(B567,COA!A:B,2,FALSE)</f>
        <v>BNYM IL - Client Services - 3rd Party Collections</v>
      </c>
      <c r="D567" s="338" t="str">
        <f t="shared" si="17"/>
        <v>C1312</v>
      </c>
      <c r="E567" s="338" t="s">
        <v>6885</v>
      </c>
      <c r="G567" s="338">
        <v>0</v>
      </c>
      <c r="H567" s="204" t="s">
        <v>77</v>
      </c>
      <c r="I567" s="204" t="s">
        <v>7362</v>
      </c>
    </row>
    <row r="568" spans="1:9" x14ac:dyDescent="0.25">
      <c r="A568" s="204" t="s">
        <v>635</v>
      </c>
      <c r="B568" s="9" t="str">
        <f t="shared" si="16"/>
        <v>13122600</v>
      </c>
      <c r="C568" s="9" t="str">
        <f>VLOOKUP(B568,COA!A:B,2,FALSE)</f>
        <v>BNYM TN</v>
      </c>
      <c r="D568" s="338" t="str">
        <f t="shared" si="17"/>
        <v>C1312</v>
      </c>
      <c r="E568" s="338" t="s">
        <v>6885</v>
      </c>
      <c r="G568" s="338">
        <v>0</v>
      </c>
      <c r="H568" s="204" t="s">
        <v>77</v>
      </c>
      <c r="I568" s="204" t="s">
        <v>7362</v>
      </c>
    </row>
    <row r="569" spans="1:9" x14ac:dyDescent="0.25">
      <c r="A569" s="204" t="s">
        <v>636</v>
      </c>
      <c r="B569" s="9" t="str">
        <f t="shared" si="16"/>
        <v>13122601</v>
      </c>
      <c r="C569" s="9" t="str">
        <f>VLOOKUP(B569,COA!A:B,2,FALSE)</f>
        <v>BNYM TN - Outbound Wire</v>
      </c>
      <c r="D569" s="338" t="str">
        <f t="shared" si="17"/>
        <v>C1312</v>
      </c>
      <c r="E569" s="338" t="s">
        <v>6885</v>
      </c>
      <c r="G569" s="338">
        <v>0</v>
      </c>
      <c r="H569" s="204" t="s">
        <v>77</v>
      </c>
      <c r="I569" s="204" t="s">
        <v>7362</v>
      </c>
    </row>
    <row r="570" spans="1:9" x14ac:dyDescent="0.25">
      <c r="A570" s="204" t="s">
        <v>637</v>
      </c>
      <c r="B570" s="9" t="str">
        <f t="shared" si="16"/>
        <v>13122604</v>
      </c>
      <c r="C570" s="9" t="str">
        <f>VLOOKUP(B570,COA!A:B,2,FALSE)</f>
        <v>BNYM TN - Inbound Wires &amp; ACH</v>
      </c>
      <c r="D570" s="338" t="str">
        <f t="shared" si="17"/>
        <v>C1312</v>
      </c>
      <c r="E570" s="338" t="s">
        <v>6885</v>
      </c>
      <c r="G570" s="338">
        <v>0</v>
      </c>
      <c r="H570" s="204" t="s">
        <v>77</v>
      </c>
      <c r="I570" s="204" t="s">
        <v>7362</v>
      </c>
    </row>
    <row r="571" spans="1:9" x14ac:dyDescent="0.25">
      <c r="A571" s="204" t="s">
        <v>638</v>
      </c>
      <c r="B571" s="9" t="str">
        <f t="shared" si="16"/>
        <v>13122606</v>
      </c>
      <c r="C571" s="9" t="str">
        <f>VLOOKUP(B571,COA!A:B,2,FALSE)</f>
        <v>BNYM TN - Customer Direct Debit</v>
      </c>
      <c r="D571" s="338" t="str">
        <f t="shared" si="17"/>
        <v>C1312</v>
      </c>
      <c r="E571" s="338" t="s">
        <v>6885</v>
      </c>
      <c r="G571" s="338">
        <v>0</v>
      </c>
      <c r="H571" s="204" t="s">
        <v>77</v>
      </c>
      <c r="I571" s="204" t="s">
        <v>7362</v>
      </c>
    </row>
    <row r="572" spans="1:9" x14ac:dyDescent="0.25">
      <c r="A572" s="204" t="s">
        <v>639</v>
      </c>
      <c r="B572" s="9" t="str">
        <f t="shared" si="16"/>
        <v>13122607</v>
      </c>
      <c r="C572" s="9" t="str">
        <f>VLOOKUP(B572,COA!A:B,2,FALSE)</f>
        <v>BNYM TN - Customer ACH</v>
      </c>
      <c r="D572" s="338" t="str">
        <f t="shared" si="17"/>
        <v>C1312</v>
      </c>
      <c r="E572" s="338" t="s">
        <v>6885</v>
      </c>
      <c r="G572" s="338">
        <v>0</v>
      </c>
      <c r="H572" s="204" t="s">
        <v>77</v>
      </c>
      <c r="I572" s="204" t="s">
        <v>7362</v>
      </c>
    </row>
    <row r="573" spans="1:9" x14ac:dyDescent="0.25">
      <c r="A573" s="204" t="s">
        <v>640</v>
      </c>
      <c r="B573" s="9" t="str">
        <f t="shared" si="16"/>
        <v>13122608</v>
      </c>
      <c r="C573" s="9" t="str">
        <f>VLOOKUP(B573,COA!A:B,2,FALSE)</f>
        <v>BNYM TN - Customer Lockbox</v>
      </c>
      <c r="D573" s="338" t="str">
        <f t="shared" si="17"/>
        <v>C1312</v>
      </c>
      <c r="E573" s="338" t="s">
        <v>6885</v>
      </c>
      <c r="G573" s="338">
        <v>0</v>
      </c>
      <c r="H573" s="204" t="s">
        <v>77</v>
      </c>
      <c r="I573" s="204" t="s">
        <v>7362</v>
      </c>
    </row>
    <row r="574" spans="1:9" x14ac:dyDescent="0.25">
      <c r="A574" s="204" t="s">
        <v>641</v>
      </c>
      <c r="B574" s="9" t="str">
        <f t="shared" si="16"/>
        <v>13122609</v>
      </c>
      <c r="C574" s="9" t="str">
        <f>VLOOKUP(B574,COA!A:B,2,FALSE)</f>
        <v>BNYM TN - Credit Card and E-Checks</v>
      </c>
      <c r="D574" s="338" t="str">
        <f t="shared" si="17"/>
        <v>C1312</v>
      </c>
      <c r="E574" s="338" t="s">
        <v>6885</v>
      </c>
      <c r="G574" s="338">
        <v>0</v>
      </c>
      <c r="H574" s="204" t="s">
        <v>77</v>
      </c>
      <c r="I574" s="204" t="s">
        <v>7362</v>
      </c>
    </row>
    <row r="575" spans="1:9" x14ac:dyDescent="0.25">
      <c r="A575" s="204" t="s">
        <v>642</v>
      </c>
      <c r="B575" s="9" t="str">
        <f t="shared" si="16"/>
        <v>13122610</v>
      </c>
      <c r="C575" s="9" t="str">
        <f>VLOOKUP(B575,COA!A:B,2,FALSE)</f>
        <v>BNYM TN - Firstech Collections</v>
      </c>
      <c r="D575" s="338" t="str">
        <f t="shared" si="17"/>
        <v>C1312</v>
      </c>
      <c r="E575" s="338" t="s">
        <v>6885</v>
      </c>
      <c r="G575" s="338">
        <v>0</v>
      </c>
      <c r="H575" s="204" t="s">
        <v>77</v>
      </c>
      <c r="I575" s="204" t="s">
        <v>7362</v>
      </c>
    </row>
    <row r="576" spans="1:9" x14ac:dyDescent="0.25">
      <c r="A576" s="204" t="s">
        <v>643</v>
      </c>
      <c r="B576" s="9" t="str">
        <f t="shared" si="16"/>
        <v>13122611</v>
      </c>
      <c r="C576" s="9" t="str">
        <f>VLOOKUP(B576,COA!A:B,2,FALSE)</f>
        <v>BNYM TN - FiServ (fka CheckFree)</v>
      </c>
      <c r="D576" s="338" t="str">
        <f t="shared" si="17"/>
        <v>C1312</v>
      </c>
      <c r="E576" s="338" t="s">
        <v>6885</v>
      </c>
      <c r="G576" s="338">
        <v>0</v>
      </c>
      <c r="H576" s="204" t="s">
        <v>77</v>
      </c>
      <c r="I576" s="204" t="s">
        <v>7362</v>
      </c>
    </row>
    <row r="577" spans="1:9" x14ac:dyDescent="0.25">
      <c r="A577" s="204" t="s">
        <v>644</v>
      </c>
      <c r="B577" s="9" t="str">
        <f t="shared" si="16"/>
        <v>13122612</v>
      </c>
      <c r="C577" s="9" t="str">
        <f>VLOOKUP(B577,COA!A:B,2,FALSE)</f>
        <v>BNYM TN - Penn Credit</v>
      </c>
      <c r="D577" s="338" t="str">
        <f t="shared" si="17"/>
        <v>C1312</v>
      </c>
      <c r="E577" s="338" t="s">
        <v>6885</v>
      </c>
      <c r="G577" s="338">
        <v>0</v>
      </c>
      <c r="H577" s="204" t="s">
        <v>77</v>
      </c>
      <c r="I577" s="204" t="s">
        <v>7362</v>
      </c>
    </row>
    <row r="578" spans="1:9" x14ac:dyDescent="0.25">
      <c r="A578" s="204" t="s">
        <v>645</v>
      </c>
      <c r="B578" s="9" t="str">
        <f t="shared" si="16"/>
        <v>13122613</v>
      </c>
      <c r="C578" s="9" t="str">
        <f>VLOOKUP(B578,COA!A:B,2,FALSE)</f>
        <v>BNYM TN - E-Return - Mellon</v>
      </c>
      <c r="D578" s="338" t="str">
        <f t="shared" si="17"/>
        <v>C1312</v>
      </c>
      <c r="E578" s="338" t="s">
        <v>6885</v>
      </c>
      <c r="G578" s="338">
        <v>0</v>
      </c>
      <c r="H578" s="204" t="s">
        <v>77</v>
      </c>
      <c r="I578" s="204" t="s">
        <v>7362</v>
      </c>
    </row>
    <row r="579" spans="1:9" x14ac:dyDescent="0.25">
      <c r="A579" s="204" t="s">
        <v>646</v>
      </c>
      <c r="B579" s="9" t="str">
        <f t="shared" si="16"/>
        <v>13122614</v>
      </c>
      <c r="C579" s="9" t="str">
        <f>VLOOKUP(B579,COA!A:B,2,FALSE)</f>
        <v>BNYM TN - Credit Card &amp; Echeck E-Returns</v>
      </c>
      <c r="D579" s="338" t="str">
        <f t="shared" si="17"/>
        <v>C1312</v>
      </c>
      <c r="E579" s="338" t="s">
        <v>6885</v>
      </c>
      <c r="G579" s="338">
        <v>0</v>
      </c>
      <c r="H579" s="204" t="s">
        <v>77</v>
      </c>
      <c r="I579" s="204" t="s">
        <v>7362</v>
      </c>
    </row>
    <row r="580" spans="1:9" x14ac:dyDescent="0.25">
      <c r="A580" s="204" t="s">
        <v>647</v>
      </c>
      <c r="B580" s="9" t="str">
        <f t="shared" si="16"/>
        <v>13122615</v>
      </c>
      <c r="C580" s="9" t="str">
        <f>VLOOKUP(B580,COA!A:B,2,FALSE)</f>
        <v>BNYM TN - Customer A/R Ck Conversion</v>
      </c>
      <c r="D580" s="338" t="str">
        <f t="shared" si="17"/>
        <v>C1312</v>
      </c>
      <c r="E580" s="338" t="s">
        <v>6885</v>
      </c>
      <c r="G580" s="338">
        <v>0</v>
      </c>
      <c r="H580" s="204" t="s">
        <v>77</v>
      </c>
      <c r="I580" s="204" t="s">
        <v>7362</v>
      </c>
    </row>
    <row r="581" spans="1:9" x14ac:dyDescent="0.25">
      <c r="A581" s="204" t="s">
        <v>648</v>
      </c>
      <c r="B581" s="9" t="str">
        <f t="shared" si="16"/>
        <v>13122616</v>
      </c>
      <c r="C581" s="9" t="str">
        <f>VLOOKUP(B581,COA!A:B,2,FALSE)</f>
        <v>BNYM TN - NSF Return Payments</v>
      </c>
      <c r="D581" s="338" t="str">
        <f t="shared" si="17"/>
        <v>C1312</v>
      </c>
      <c r="E581" s="338" t="s">
        <v>6885</v>
      </c>
      <c r="G581" s="338">
        <v>0</v>
      </c>
      <c r="H581" s="204" t="s">
        <v>77</v>
      </c>
      <c r="I581" s="204" t="s">
        <v>7362</v>
      </c>
    </row>
    <row r="582" spans="1:9" x14ac:dyDescent="0.25">
      <c r="A582" s="204" t="s">
        <v>649</v>
      </c>
      <c r="B582" s="9" t="str">
        <f t="shared" si="16"/>
        <v>13122617</v>
      </c>
      <c r="C582" s="9" t="str">
        <f>VLOOKUP(B582,COA!A:B,2,FALSE)</f>
        <v>BNYM TN - Misc Debits/Credits</v>
      </c>
      <c r="D582" s="338" t="str">
        <f t="shared" si="17"/>
        <v>C1312</v>
      </c>
      <c r="E582" s="338" t="s">
        <v>6885</v>
      </c>
      <c r="G582" s="338">
        <v>0</v>
      </c>
      <c r="H582" s="204" t="s">
        <v>77</v>
      </c>
      <c r="I582" s="204" t="s">
        <v>7362</v>
      </c>
    </row>
    <row r="583" spans="1:9" x14ac:dyDescent="0.25">
      <c r="A583" s="204" t="s">
        <v>650</v>
      </c>
      <c r="B583" s="9" t="str">
        <f t="shared" si="16"/>
        <v>13122618</v>
      </c>
      <c r="C583" s="9" t="str">
        <f>VLOOKUP(B583,COA!A:B,2,FALSE)</f>
        <v>BNYM TN - Client Services - 3rd Party Collections</v>
      </c>
      <c r="D583" s="338" t="str">
        <f t="shared" si="17"/>
        <v>C1312</v>
      </c>
      <c r="E583" s="338" t="s">
        <v>6885</v>
      </c>
      <c r="G583" s="338">
        <v>0</v>
      </c>
      <c r="H583" s="204" t="s">
        <v>77</v>
      </c>
      <c r="I583" s="204" t="s">
        <v>7362</v>
      </c>
    </row>
    <row r="584" spans="1:9" x14ac:dyDescent="0.25">
      <c r="A584" s="204" t="s">
        <v>651</v>
      </c>
      <c r="B584" s="9" t="str">
        <f t="shared" si="16"/>
        <v>13122700</v>
      </c>
      <c r="C584" s="9" t="str">
        <f>VLOOKUP(B584,COA!A:B,2,FALSE)</f>
        <v>BNYM VA</v>
      </c>
      <c r="D584" s="338" t="str">
        <f t="shared" si="17"/>
        <v>C1312</v>
      </c>
      <c r="E584" s="338" t="s">
        <v>6885</v>
      </c>
      <c r="G584" s="338">
        <v>0</v>
      </c>
      <c r="H584" s="204" t="s">
        <v>77</v>
      </c>
      <c r="I584" s="204" t="s">
        <v>7362</v>
      </c>
    </row>
    <row r="585" spans="1:9" x14ac:dyDescent="0.25">
      <c r="A585" s="204" t="s">
        <v>652</v>
      </c>
      <c r="B585" s="9" t="str">
        <f t="shared" ref="B585:B648" si="18">RIGHT(A585,8)</f>
        <v>13122701</v>
      </c>
      <c r="C585" s="9" t="str">
        <f>VLOOKUP(B585,COA!A:B,2,FALSE)</f>
        <v>BNYM VA - Outbound Wire</v>
      </c>
      <c r="D585" s="338" t="str">
        <f t="shared" si="17"/>
        <v>C1312</v>
      </c>
      <c r="E585" s="338" t="s">
        <v>6885</v>
      </c>
      <c r="G585" s="338">
        <v>0</v>
      </c>
      <c r="H585" s="204" t="s">
        <v>77</v>
      </c>
      <c r="I585" s="204" t="s">
        <v>7362</v>
      </c>
    </row>
    <row r="586" spans="1:9" x14ac:dyDescent="0.25">
      <c r="A586" s="204" t="s">
        <v>653</v>
      </c>
      <c r="B586" s="9" t="str">
        <f t="shared" si="18"/>
        <v>13122704</v>
      </c>
      <c r="C586" s="9" t="str">
        <f>VLOOKUP(B586,COA!A:B,2,FALSE)</f>
        <v>BNYM VA - Inbound Wires &amp; ACH</v>
      </c>
      <c r="D586" s="338" t="str">
        <f t="shared" si="17"/>
        <v>C1312</v>
      </c>
      <c r="E586" s="338" t="s">
        <v>6885</v>
      </c>
      <c r="G586" s="338">
        <v>0</v>
      </c>
      <c r="H586" s="204" t="s">
        <v>77</v>
      </c>
      <c r="I586" s="204" t="s">
        <v>7362</v>
      </c>
    </row>
    <row r="587" spans="1:9" x14ac:dyDescent="0.25">
      <c r="A587" s="204" t="s">
        <v>654</v>
      </c>
      <c r="B587" s="9" t="str">
        <f t="shared" si="18"/>
        <v>13122706</v>
      </c>
      <c r="C587" s="9" t="str">
        <f>VLOOKUP(B587,COA!A:B,2,FALSE)</f>
        <v>BNYM VA - Customer Direct Debit</v>
      </c>
      <c r="D587" s="338" t="str">
        <f t="shared" ref="D587:D650" si="19">+I587</f>
        <v>C1312</v>
      </c>
      <c r="E587" s="338" t="s">
        <v>6885</v>
      </c>
      <c r="G587" s="338">
        <v>0</v>
      </c>
      <c r="H587" s="204" t="s">
        <v>77</v>
      </c>
      <c r="I587" s="204" t="s">
        <v>7362</v>
      </c>
    </row>
    <row r="588" spans="1:9" x14ac:dyDescent="0.25">
      <c r="A588" s="204" t="s">
        <v>655</v>
      </c>
      <c r="B588" s="9" t="str">
        <f t="shared" si="18"/>
        <v>13122707</v>
      </c>
      <c r="C588" s="9" t="str">
        <f>VLOOKUP(B588,COA!A:B,2,FALSE)</f>
        <v>BNYM VA - Customer ACH</v>
      </c>
      <c r="D588" s="338" t="str">
        <f t="shared" si="19"/>
        <v>C1312</v>
      </c>
      <c r="E588" s="338" t="s">
        <v>6885</v>
      </c>
      <c r="G588" s="338">
        <v>0</v>
      </c>
      <c r="H588" s="204" t="s">
        <v>77</v>
      </c>
      <c r="I588" s="204" t="s">
        <v>7362</v>
      </c>
    </row>
    <row r="589" spans="1:9" x14ac:dyDescent="0.25">
      <c r="A589" s="204" t="s">
        <v>656</v>
      </c>
      <c r="B589" s="9" t="str">
        <f t="shared" si="18"/>
        <v>13122708</v>
      </c>
      <c r="C589" s="9" t="str">
        <f>VLOOKUP(B589,COA!A:B,2,FALSE)</f>
        <v>BNYM VA - Customer Lockbox</v>
      </c>
      <c r="D589" s="338" t="str">
        <f t="shared" si="19"/>
        <v>C1312</v>
      </c>
      <c r="E589" s="338" t="s">
        <v>6885</v>
      </c>
      <c r="G589" s="338">
        <v>0</v>
      </c>
      <c r="H589" s="204" t="s">
        <v>77</v>
      </c>
      <c r="I589" s="204" t="s">
        <v>7362</v>
      </c>
    </row>
    <row r="590" spans="1:9" x14ac:dyDescent="0.25">
      <c r="A590" s="204" t="s">
        <v>657</v>
      </c>
      <c r="B590" s="9" t="str">
        <f t="shared" si="18"/>
        <v>13122709</v>
      </c>
      <c r="C590" s="9" t="str">
        <f>VLOOKUP(B590,COA!A:B,2,FALSE)</f>
        <v>BNYM VA - Credit Card and E-Checks</v>
      </c>
      <c r="D590" s="338" t="str">
        <f t="shared" si="19"/>
        <v>C1312</v>
      </c>
      <c r="E590" s="338" t="s">
        <v>6885</v>
      </c>
      <c r="G590" s="338">
        <v>0</v>
      </c>
      <c r="H590" s="204" t="s">
        <v>77</v>
      </c>
      <c r="I590" s="204" t="s">
        <v>7362</v>
      </c>
    </row>
    <row r="591" spans="1:9" x14ac:dyDescent="0.25">
      <c r="A591" s="204" t="s">
        <v>658</v>
      </c>
      <c r="B591" s="9" t="str">
        <f t="shared" si="18"/>
        <v>13122711</v>
      </c>
      <c r="C591" s="9" t="str">
        <f>VLOOKUP(B591,COA!A:B,2,FALSE)</f>
        <v>BNYM VA - FiServ (fka CheckFree)</v>
      </c>
      <c r="D591" s="338" t="str">
        <f t="shared" si="19"/>
        <v>C1312</v>
      </c>
      <c r="E591" s="338" t="s">
        <v>6885</v>
      </c>
      <c r="G591" s="338">
        <v>0</v>
      </c>
      <c r="H591" s="204" t="s">
        <v>77</v>
      </c>
      <c r="I591" s="204" t="s">
        <v>7362</v>
      </c>
    </row>
    <row r="592" spans="1:9" x14ac:dyDescent="0.25">
      <c r="A592" s="204" t="s">
        <v>659</v>
      </c>
      <c r="B592" s="9" t="str">
        <f t="shared" si="18"/>
        <v>13122712</v>
      </c>
      <c r="C592" s="9" t="str">
        <f>VLOOKUP(B592,COA!A:B,2,FALSE)</f>
        <v>BNYM VA - Penn Credit</v>
      </c>
      <c r="D592" s="338" t="str">
        <f t="shared" si="19"/>
        <v>C1312</v>
      </c>
      <c r="E592" s="338" t="s">
        <v>6885</v>
      </c>
      <c r="G592" s="338">
        <v>0</v>
      </c>
      <c r="H592" s="204" t="s">
        <v>77</v>
      </c>
      <c r="I592" s="204" t="s">
        <v>7362</v>
      </c>
    </row>
    <row r="593" spans="1:9" x14ac:dyDescent="0.25">
      <c r="A593" s="204" t="s">
        <v>660</v>
      </c>
      <c r="B593" s="9" t="str">
        <f t="shared" si="18"/>
        <v>13122713</v>
      </c>
      <c r="C593" s="9" t="str">
        <f>VLOOKUP(B593,COA!A:B,2,FALSE)</f>
        <v>BNYM VA - E-Return - Mellon</v>
      </c>
      <c r="D593" s="338" t="str">
        <f t="shared" si="19"/>
        <v>C1312</v>
      </c>
      <c r="E593" s="338" t="s">
        <v>6885</v>
      </c>
      <c r="G593" s="338">
        <v>0</v>
      </c>
      <c r="H593" s="204" t="s">
        <v>77</v>
      </c>
      <c r="I593" s="204" t="s">
        <v>7362</v>
      </c>
    </row>
    <row r="594" spans="1:9" x14ac:dyDescent="0.25">
      <c r="A594" s="204" t="s">
        <v>661</v>
      </c>
      <c r="B594" s="9" t="str">
        <f t="shared" si="18"/>
        <v>13122714</v>
      </c>
      <c r="C594" s="9" t="str">
        <f>VLOOKUP(B594,COA!A:B,2,FALSE)</f>
        <v>BNYM VA -Credit Card &amp; Echeck E-Returns</v>
      </c>
      <c r="D594" s="338" t="str">
        <f t="shared" si="19"/>
        <v>C1312</v>
      </c>
      <c r="E594" s="338" t="s">
        <v>6885</v>
      </c>
      <c r="G594" s="338">
        <v>0</v>
      </c>
      <c r="H594" s="204" t="s">
        <v>77</v>
      </c>
      <c r="I594" s="204" t="s">
        <v>7362</v>
      </c>
    </row>
    <row r="595" spans="1:9" x14ac:dyDescent="0.25">
      <c r="A595" s="204" t="s">
        <v>662</v>
      </c>
      <c r="B595" s="9" t="str">
        <f t="shared" si="18"/>
        <v>13122715</v>
      </c>
      <c r="C595" s="9" t="str">
        <f>VLOOKUP(B595,COA!A:B,2,FALSE)</f>
        <v>BNYM VA - Customer A/R Ck Conversion</v>
      </c>
      <c r="D595" s="338" t="str">
        <f t="shared" si="19"/>
        <v>C1312</v>
      </c>
      <c r="E595" s="338" t="s">
        <v>6885</v>
      </c>
      <c r="G595" s="338">
        <v>0</v>
      </c>
      <c r="H595" s="204" t="s">
        <v>77</v>
      </c>
      <c r="I595" s="204" t="s">
        <v>7362</v>
      </c>
    </row>
    <row r="596" spans="1:9" x14ac:dyDescent="0.25">
      <c r="A596" s="204" t="s">
        <v>663</v>
      </c>
      <c r="B596" s="9" t="str">
        <f t="shared" si="18"/>
        <v>13122716</v>
      </c>
      <c r="C596" s="9" t="str">
        <f>VLOOKUP(B596,COA!A:B,2,FALSE)</f>
        <v>BNYM VA - NSF Return Payments</v>
      </c>
      <c r="D596" s="338" t="str">
        <f t="shared" si="19"/>
        <v>C1312</v>
      </c>
      <c r="E596" s="338" t="s">
        <v>6885</v>
      </c>
      <c r="G596" s="338">
        <v>0</v>
      </c>
      <c r="H596" s="204" t="s">
        <v>77</v>
      </c>
      <c r="I596" s="204" t="s">
        <v>7362</v>
      </c>
    </row>
    <row r="597" spans="1:9" x14ac:dyDescent="0.25">
      <c r="A597" s="204" t="s">
        <v>664</v>
      </c>
      <c r="B597" s="9" t="str">
        <f t="shared" si="18"/>
        <v>13122717</v>
      </c>
      <c r="C597" s="9" t="str">
        <f>VLOOKUP(B597,COA!A:B,2,FALSE)</f>
        <v>BNYM VA - Misc Debits/Credits</v>
      </c>
      <c r="D597" s="338" t="str">
        <f t="shared" si="19"/>
        <v>C1312</v>
      </c>
      <c r="E597" s="338" t="s">
        <v>6885</v>
      </c>
      <c r="G597" s="338">
        <v>0</v>
      </c>
      <c r="H597" s="204" t="s">
        <v>77</v>
      </c>
      <c r="I597" s="204" t="s">
        <v>7362</v>
      </c>
    </row>
    <row r="598" spans="1:9" x14ac:dyDescent="0.25">
      <c r="A598" s="204" t="s">
        <v>665</v>
      </c>
      <c r="B598" s="9" t="str">
        <f t="shared" si="18"/>
        <v>13122718</v>
      </c>
      <c r="C598" s="9" t="str">
        <f>VLOOKUP(B598,COA!A:B,2,FALSE)</f>
        <v>BNYM VA - Client Services - 3rd Party Collections</v>
      </c>
      <c r="D598" s="338" t="str">
        <f t="shared" si="19"/>
        <v>C1312</v>
      </c>
      <c r="E598" s="338" t="s">
        <v>6885</v>
      </c>
      <c r="G598" s="338">
        <v>0</v>
      </c>
      <c r="H598" s="204" t="s">
        <v>77</v>
      </c>
      <c r="I598" s="204" t="s">
        <v>7362</v>
      </c>
    </row>
    <row r="599" spans="1:9" x14ac:dyDescent="0.25">
      <c r="A599" s="204" t="s">
        <v>666</v>
      </c>
      <c r="B599" s="9" t="str">
        <f t="shared" si="18"/>
        <v>13122800</v>
      </c>
      <c r="C599" s="9" t="str">
        <f>VLOOKUP(B599,COA!A:B,2,FALSE)</f>
        <v>BNYM WV</v>
      </c>
      <c r="D599" s="338" t="str">
        <f t="shared" si="19"/>
        <v>C1312</v>
      </c>
      <c r="E599" s="338" t="s">
        <v>6885</v>
      </c>
      <c r="G599" s="338">
        <v>0</v>
      </c>
      <c r="H599" s="204" t="s">
        <v>77</v>
      </c>
      <c r="I599" s="204" t="s">
        <v>7362</v>
      </c>
    </row>
    <row r="600" spans="1:9" x14ac:dyDescent="0.25">
      <c r="A600" s="204" t="s">
        <v>667</v>
      </c>
      <c r="B600" s="9" t="str">
        <f t="shared" si="18"/>
        <v>13122801</v>
      </c>
      <c r="C600" s="9" t="str">
        <f>VLOOKUP(B600,COA!A:B,2,FALSE)</f>
        <v>BNYM WV - Outbound Wire</v>
      </c>
      <c r="D600" s="338" t="str">
        <f t="shared" si="19"/>
        <v>C1312</v>
      </c>
      <c r="E600" s="338" t="s">
        <v>6885</v>
      </c>
      <c r="G600" s="338">
        <v>0</v>
      </c>
      <c r="H600" s="204" t="s">
        <v>77</v>
      </c>
      <c r="I600" s="204" t="s">
        <v>7362</v>
      </c>
    </row>
    <row r="601" spans="1:9" x14ac:dyDescent="0.25">
      <c r="A601" s="204" t="s">
        <v>668</v>
      </c>
      <c r="B601" s="9" t="str">
        <f t="shared" si="18"/>
        <v>13122804</v>
      </c>
      <c r="C601" s="9" t="str">
        <f>VLOOKUP(B601,COA!A:B,2,FALSE)</f>
        <v>BNYM WV - Inbound Wires &amp; ACH</v>
      </c>
      <c r="D601" s="338" t="str">
        <f t="shared" si="19"/>
        <v>C1312</v>
      </c>
      <c r="E601" s="338" t="s">
        <v>6885</v>
      </c>
      <c r="G601" s="338">
        <v>0</v>
      </c>
      <c r="H601" s="204" t="s">
        <v>77</v>
      </c>
      <c r="I601" s="204" t="s">
        <v>7362</v>
      </c>
    </row>
    <row r="602" spans="1:9" x14ac:dyDescent="0.25">
      <c r="A602" s="204" t="s">
        <v>669</v>
      </c>
      <c r="B602" s="9" t="str">
        <f t="shared" si="18"/>
        <v>13122806</v>
      </c>
      <c r="C602" s="9" t="str">
        <f>VLOOKUP(B602,COA!A:B,2,FALSE)</f>
        <v>BNYM WV - Customer Direct Debit</v>
      </c>
      <c r="D602" s="338" t="str">
        <f t="shared" si="19"/>
        <v>C1312</v>
      </c>
      <c r="E602" s="338" t="s">
        <v>6885</v>
      </c>
      <c r="G602" s="338">
        <v>0</v>
      </c>
      <c r="H602" s="204" t="s">
        <v>77</v>
      </c>
      <c r="I602" s="204" t="s">
        <v>7362</v>
      </c>
    </row>
    <row r="603" spans="1:9" x14ac:dyDescent="0.25">
      <c r="A603" s="204" t="s">
        <v>670</v>
      </c>
      <c r="B603" s="9" t="str">
        <f t="shared" si="18"/>
        <v>13122807</v>
      </c>
      <c r="C603" s="9" t="str">
        <f>VLOOKUP(B603,COA!A:B,2,FALSE)</f>
        <v>BNYM WV - Customer ACH</v>
      </c>
      <c r="D603" s="338" t="str">
        <f t="shared" si="19"/>
        <v>C1312</v>
      </c>
      <c r="E603" s="338" t="s">
        <v>6885</v>
      </c>
      <c r="G603" s="338">
        <v>0</v>
      </c>
      <c r="H603" s="204" t="s">
        <v>77</v>
      </c>
      <c r="I603" s="204" t="s">
        <v>7362</v>
      </c>
    </row>
    <row r="604" spans="1:9" x14ac:dyDescent="0.25">
      <c r="A604" s="204" t="s">
        <v>671</v>
      </c>
      <c r="B604" s="9" t="str">
        <f t="shared" si="18"/>
        <v>13122808</v>
      </c>
      <c r="C604" s="9" t="str">
        <f>VLOOKUP(B604,COA!A:B,2,FALSE)</f>
        <v>BNYM WV - Customer Lockbox</v>
      </c>
      <c r="D604" s="338" t="str">
        <f t="shared" si="19"/>
        <v>C1312</v>
      </c>
      <c r="E604" s="338" t="s">
        <v>6885</v>
      </c>
      <c r="G604" s="338">
        <v>0</v>
      </c>
      <c r="H604" s="204" t="s">
        <v>77</v>
      </c>
      <c r="I604" s="204" t="s">
        <v>7362</v>
      </c>
    </row>
    <row r="605" spans="1:9" x14ac:dyDescent="0.25">
      <c r="A605" s="204" t="s">
        <v>672</v>
      </c>
      <c r="B605" s="9" t="str">
        <f t="shared" si="18"/>
        <v>13122809</v>
      </c>
      <c r="C605" s="9" t="str">
        <f>VLOOKUP(B605,COA!A:B,2,FALSE)</f>
        <v>BNYM WV - Credit Card and E-Checks</v>
      </c>
      <c r="D605" s="338" t="str">
        <f t="shared" si="19"/>
        <v>C1312</v>
      </c>
      <c r="E605" s="338" t="s">
        <v>6885</v>
      </c>
      <c r="G605" s="338">
        <v>0</v>
      </c>
      <c r="H605" s="204" t="s">
        <v>77</v>
      </c>
      <c r="I605" s="204" t="s">
        <v>7362</v>
      </c>
    </row>
    <row r="606" spans="1:9" x14ac:dyDescent="0.25">
      <c r="A606" s="204" t="s">
        <v>673</v>
      </c>
      <c r="B606" s="9" t="str">
        <f t="shared" si="18"/>
        <v>13122811</v>
      </c>
      <c r="C606" s="9" t="str">
        <f>VLOOKUP(B606,COA!A:B,2,FALSE)</f>
        <v>BNYM WV - FiServ (fka CheckFree)</v>
      </c>
      <c r="D606" s="338" t="str">
        <f t="shared" si="19"/>
        <v>C1312</v>
      </c>
      <c r="E606" s="338" t="s">
        <v>6885</v>
      </c>
      <c r="G606" s="338">
        <v>0</v>
      </c>
      <c r="H606" s="204" t="s">
        <v>77</v>
      </c>
      <c r="I606" s="204" t="s">
        <v>7362</v>
      </c>
    </row>
    <row r="607" spans="1:9" x14ac:dyDescent="0.25">
      <c r="A607" s="204" t="s">
        <v>674</v>
      </c>
      <c r="B607" s="9" t="str">
        <f t="shared" si="18"/>
        <v>13122812</v>
      </c>
      <c r="C607" s="9" t="str">
        <f>VLOOKUP(B607,COA!A:B,2,FALSE)</f>
        <v>BNYM WV - Penn Credit</v>
      </c>
      <c r="D607" s="338" t="str">
        <f t="shared" si="19"/>
        <v>C1312</v>
      </c>
      <c r="E607" s="338" t="s">
        <v>6885</v>
      </c>
      <c r="G607" s="338">
        <v>0</v>
      </c>
      <c r="H607" s="204" t="s">
        <v>77</v>
      </c>
      <c r="I607" s="204" t="s">
        <v>7362</v>
      </c>
    </row>
    <row r="608" spans="1:9" x14ac:dyDescent="0.25">
      <c r="A608" s="204" t="s">
        <v>675</v>
      </c>
      <c r="B608" s="9" t="str">
        <f t="shared" si="18"/>
        <v>13122813</v>
      </c>
      <c r="C608" s="9" t="str">
        <f>VLOOKUP(B608,COA!A:B,2,FALSE)</f>
        <v>BNYM WV - E-Return - Mellon</v>
      </c>
      <c r="D608" s="338" t="str">
        <f t="shared" si="19"/>
        <v>C1312</v>
      </c>
      <c r="E608" s="338" t="s">
        <v>6885</v>
      </c>
      <c r="G608" s="338">
        <v>0</v>
      </c>
      <c r="H608" s="204" t="s">
        <v>77</v>
      </c>
      <c r="I608" s="204" t="s">
        <v>7362</v>
      </c>
    </row>
    <row r="609" spans="1:9" x14ac:dyDescent="0.25">
      <c r="A609" s="204" t="s">
        <v>676</v>
      </c>
      <c r="B609" s="9" t="str">
        <f t="shared" si="18"/>
        <v>13122814</v>
      </c>
      <c r="C609" s="9" t="str">
        <f>VLOOKUP(B609,COA!A:B,2,FALSE)</f>
        <v>BNYM WV -Credit Card &amp; Echeck E-Returns</v>
      </c>
      <c r="D609" s="338" t="str">
        <f t="shared" si="19"/>
        <v>C1312</v>
      </c>
      <c r="E609" s="338" t="s">
        <v>6885</v>
      </c>
      <c r="G609" s="338">
        <v>0</v>
      </c>
      <c r="H609" s="204" t="s">
        <v>77</v>
      </c>
      <c r="I609" s="204" t="s">
        <v>7362</v>
      </c>
    </row>
    <row r="610" spans="1:9" x14ac:dyDescent="0.25">
      <c r="A610" s="204" t="s">
        <v>677</v>
      </c>
      <c r="B610" s="9" t="str">
        <f t="shared" si="18"/>
        <v>13122815</v>
      </c>
      <c r="C610" s="9" t="str">
        <f>VLOOKUP(B610,COA!A:B,2,FALSE)</f>
        <v>BNYM WV - Customer A/R Ck Conversion</v>
      </c>
      <c r="D610" s="338" t="str">
        <f t="shared" si="19"/>
        <v>C1312</v>
      </c>
      <c r="E610" s="338" t="s">
        <v>6885</v>
      </c>
      <c r="G610" s="338">
        <v>0</v>
      </c>
      <c r="H610" s="204" t="s">
        <v>77</v>
      </c>
      <c r="I610" s="204" t="s">
        <v>7362</v>
      </c>
    </row>
    <row r="611" spans="1:9" x14ac:dyDescent="0.25">
      <c r="A611" s="204" t="s">
        <v>678</v>
      </c>
      <c r="B611" s="9" t="str">
        <f t="shared" si="18"/>
        <v>13122816</v>
      </c>
      <c r="C611" s="9" t="str">
        <f>VLOOKUP(B611,COA!A:B,2,FALSE)</f>
        <v>BNYM WV - NSF Return Payments</v>
      </c>
      <c r="D611" s="338" t="str">
        <f t="shared" si="19"/>
        <v>C1312</v>
      </c>
      <c r="E611" s="338" t="s">
        <v>6885</v>
      </c>
      <c r="G611" s="338">
        <v>0</v>
      </c>
      <c r="H611" s="204" t="s">
        <v>77</v>
      </c>
      <c r="I611" s="204" t="s">
        <v>7362</v>
      </c>
    </row>
    <row r="612" spans="1:9" x14ac:dyDescent="0.25">
      <c r="A612" s="204" t="s">
        <v>679</v>
      </c>
      <c r="B612" s="9" t="str">
        <f t="shared" si="18"/>
        <v>13122817</v>
      </c>
      <c r="C612" s="9" t="str">
        <f>VLOOKUP(B612,COA!A:B,2,FALSE)</f>
        <v>BNYM WV - Misc Debits/Credits</v>
      </c>
      <c r="D612" s="338" t="str">
        <f t="shared" si="19"/>
        <v>C1312</v>
      </c>
      <c r="E612" s="338" t="s">
        <v>6885</v>
      </c>
      <c r="G612" s="338">
        <v>0</v>
      </c>
      <c r="H612" s="204" t="s">
        <v>77</v>
      </c>
      <c r="I612" s="204" t="s">
        <v>7362</v>
      </c>
    </row>
    <row r="613" spans="1:9" x14ac:dyDescent="0.25">
      <c r="A613" s="204" t="s">
        <v>680</v>
      </c>
      <c r="B613" s="9" t="str">
        <f t="shared" si="18"/>
        <v>13122818</v>
      </c>
      <c r="C613" s="9" t="str">
        <f>VLOOKUP(B613,COA!A:B,2,FALSE)</f>
        <v>BNYM WV - Client Services - 3rd Party Collections</v>
      </c>
      <c r="D613" s="338" t="str">
        <f t="shared" si="19"/>
        <v>C1312</v>
      </c>
      <c r="E613" s="338" t="s">
        <v>6885</v>
      </c>
      <c r="G613" s="338">
        <v>0</v>
      </c>
      <c r="H613" s="204" t="s">
        <v>77</v>
      </c>
      <c r="I613" s="204" t="s">
        <v>7362</v>
      </c>
    </row>
    <row r="614" spans="1:9" x14ac:dyDescent="0.25">
      <c r="A614" s="204" t="s">
        <v>681</v>
      </c>
      <c r="B614" s="9" t="str">
        <f t="shared" si="18"/>
        <v>13123000</v>
      </c>
      <c r="C614" s="9" t="str">
        <f>VLOOKUP(B614,COA!A:B,2,FALSE)</f>
        <v>BNYM HI</v>
      </c>
      <c r="D614" s="338" t="str">
        <f t="shared" si="19"/>
        <v>C1312</v>
      </c>
      <c r="E614" s="338" t="s">
        <v>6885</v>
      </c>
      <c r="G614" s="338">
        <v>0</v>
      </c>
      <c r="H614" s="204" t="s">
        <v>77</v>
      </c>
      <c r="I614" s="204" t="s">
        <v>7362</v>
      </c>
    </row>
    <row r="615" spans="1:9" x14ac:dyDescent="0.25">
      <c r="A615" s="204" t="s">
        <v>682</v>
      </c>
      <c r="B615" s="9" t="str">
        <f t="shared" si="18"/>
        <v>13123001</v>
      </c>
      <c r="C615" s="9" t="str">
        <f>VLOOKUP(B615,COA!A:B,2,FALSE)</f>
        <v>BNYM HI - Outbound Wire</v>
      </c>
      <c r="D615" s="338" t="str">
        <f t="shared" si="19"/>
        <v>C1312</v>
      </c>
      <c r="E615" s="338" t="s">
        <v>6885</v>
      </c>
      <c r="G615" s="338">
        <v>0</v>
      </c>
      <c r="H615" s="204" t="s">
        <v>77</v>
      </c>
      <c r="I615" s="204" t="s">
        <v>7362</v>
      </c>
    </row>
    <row r="616" spans="1:9" x14ac:dyDescent="0.25">
      <c r="A616" s="204" t="s">
        <v>683</v>
      </c>
      <c r="B616" s="9" t="str">
        <f t="shared" si="18"/>
        <v>13123004</v>
      </c>
      <c r="C616" s="9" t="str">
        <f>VLOOKUP(B616,COA!A:B,2,FALSE)</f>
        <v>BNYM HI - Inbound Wires &amp; ACH</v>
      </c>
      <c r="D616" s="338" t="str">
        <f t="shared" si="19"/>
        <v>C1312</v>
      </c>
      <c r="E616" s="338" t="s">
        <v>6885</v>
      </c>
      <c r="G616" s="338">
        <v>0</v>
      </c>
      <c r="H616" s="204" t="s">
        <v>77</v>
      </c>
      <c r="I616" s="204" t="s">
        <v>7362</v>
      </c>
    </row>
    <row r="617" spans="1:9" x14ac:dyDescent="0.25">
      <c r="A617" s="204" t="s">
        <v>684</v>
      </c>
      <c r="B617" s="9" t="str">
        <f t="shared" si="18"/>
        <v>13123006</v>
      </c>
      <c r="C617" s="9" t="str">
        <f>VLOOKUP(B617,COA!A:B,2,FALSE)</f>
        <v>BNYM HI - Customer Direct Debit</v>
      </c>
      <c r="D617" s="338" t="str">
        <f t="shared" si="19"/>
        <v>C1312</v>
      </c>
      <c r="E617" s="338" t="s">
        <v>6885</v>
      </c>
      <c r="G617" s="338">
        <v>0</v>
      </c>
      <c r="H617" s="204" t="s">
        <v>77</v>
      </c>
      <c r="I617" s="204" t="s">
        <v>7362</v>
      </c>
    </row>
    <row r="618" spans="1:9" x14ac:dyDescent="0.25">
      <c r="A618" s="204" t="s">
        <v>685</v>
      </c>
      <c r="B618" s="9" t="str">
        <f t="shared" si="18"/>
        <v>13123007</v>
      </c>
      <c r="C618" s="9" t="str">
        <f>VLOOKUP(B618,COA!A:B,2,FALSE)</f>
        <v>BNYM HI - Customer ACH</v>
      </c>
      <c r="D618" s="338" t="str">
        <f t="shared" si="19"/>
        <v>C1312</v>
      </c>
      <c r="E618" s="338" t="s">
        <v>6885</v>
      </c>
      <c r="G618" s="338">
        <v>0</v>
      </c>
      <c r="H618" s="204" t="s">
        <v>77</v>
      </c>
      <c r="I618" s="204" t="s">
        <v>7362</v>
      </c>
    </row>
    <row r="619" spans="1:9" x14ac:dyDescent="0.25">
      <c r="A619" s="204" t="s">
        <v>686</v>
      </c>
      <c r="B619" s="9" t="str">
        <f t="shared" si="18"/>
        <v>13123008</v>
      </c>
      <c r="C619" s="9" t="str">
        <f>VLOOKUP(B619,COA!A:B,2,FALSE)</f>
        <v>BNYM HI - Customer Lockbox</v>
      </c>
      <c r="D619" s="338" t="str">
        <f t="shared" si="19"/>
        <v>C1312</v>
      </c>
      <c r="E619" s="338" t="s">
        <v>6885</v>
      </c>
      <c r="G619" s="338">
        <v>0</v>
      </c>
      <c r="H619" s="204" t="s">
        <v>77</v>
      </c>
      <c r="I619" s="204" t="s">
        <v>7362</v>
      </c>
    </row>
    <row r="620" spans="1:9" x14ac:dyDescent="0.25">
      <c r="A620" s="204" t="s">
        <v>687</v>
      </c>
      <c r="B620" s="9" t="str">
        <f t="shared" si="18"/>
        <v>13123009</v>
      </c>
      <c r="C620" s="9" t="str">
        <f>VLOOKUP(B620,COA!A:B,2,FALSE)</f>
        <v>BNYM HI - Credit Card and E-Checks</v>
      </c>
      <c r="D620" s="338" t="str">
        <f t="shared" si="19"/>
        <v>C1312</v>
      </c>
      <c r="E620" s="338" t="s">
        <v>6885</v>
      </c>
      <c r="G620" s="338">
        <v>0</v>
      </c>
      <c r="H620" s="204" t="s">
        <v>77</v>
      </c>
      <c r="I620" s="204" t="s">
        <v>7362</v>
      </c>
    </row>
    <row r="621" spans="1:9" x14ac:dyDescent="0.25">
      <c r="A621" s="204" t="s">
        <v>688</v>
      </c>
      <c r="B621" s="9" t="str">
        <f t="shared" si="18"/>
        <v>13123010</v>
      </c>
      <c r="C621" s="9" t="str">
        <f>VLOOKUP(B621,COA!A:B,2,FALSE)</f>
        <v>BNYM HI - First Tech</v>
      </c>
      <c r="D621" s="338" t="str">
        <f t="shared" si="19"/>
        <v>C1312</v>
      </c>
      <c r="E621" s="338" t="s">
        <v>6885</v>
      </c>
      <c r="G621" s="338">
        <v>0</v>
      </c>
      <c r="H621" s="204" t="s">
        <v>77</v>
      </c>
      <c r="I621" s="204" t="s">
        <v>7362</v>
      </c>
    </row>
    <row r="622" spans="1:9" x14ac:dyDescent="0.25">
      <c r="A622" s="204" t="s">
        <v>689</v>
      </c>
      <c r="B622" s="9" t="str">
        <f t="shared" si="18"/>
        <v>13123011</v>
      </c>
      <c r="C622" s="9" t="str">
        <f>VLOOKUP(B622,COA!A:B,2,FALSE)</f>
        <v>BNYM HI - FiServ (fka CheckFree)</v>
      </c>
      <c r="D622" s="338" t="str">
        <f t="shared" si="19"/>
        <v>C1312</v>
      </c>
      <c r="E622" s="338" t="s">
        <v>6885</v>
      </c>
      <c r="G622" s="338">
        <v>0</v>
      </c>
      <c r="H622" s="204" t="s">
        <v>77</v>
      </c>
      <c r="I622" s="204" t="s">
        <v>7362</v>
      </c>
    </row>
    <row r="623" spans="1:9" x14ac:dyDescent="0.25">
      <c r="A623" s="204" t="s">
        <v>690</v>
      </c>
      <c r="B623" s="9" t="str">
        <f t="shared" si="18"/>
        <v>13123012</v>
      </c>
      <c r="C623" s="9" t="str">
        <f>VLOOKUP(B623,COA!A:B,2,FALSE)</f>
        <v>BNYM HI - Penn Credit</v>
      </c>
      <c r="D623" s="338" t="str">
        <f t="shared" si="19"/>
        <v>C1312</v>
      </c>
      <c r="E623" s="338" t="s">
        <v>6885</v>
      </c>
      <c r="G623" s="338">
        <v>0</v>
      </c>
      <c r="H623" s="204" t="s">
        <v>77</v>
      </c>
      <c r="I623" s="204" t="s">
        <v>7362</v>
      </c>
    </row>
    <row r="624" spans="1:9" x14ac:dyDescent="0.25">
      <c r="A624" s="204" t="s">
        <v>691</v>
      </c>
      <c r="B624" s="9" t="str">
        <f t="shared" si="18"/>
        <v>13123013</v>
      </c>
      <c r="C624" s="9" t="str">
        <f>VLOOKUP(B624,COA!A:B,2,FALSE)</f>
        <v>BNYM HI - E-Return - Mellon</v>
      </c>
      <c r="D624" s="338" t="str">
        <f t="shared" si="19"/>
        <v>C1312</v>
      </c>
      <c r="E624" s="338" t="s">
        <v>6885</v>
      </c>
      <c r="G624" s="338">
        <v>0</v>
      </c>
      <c r="H624" s="204" t="s">
        <v>77</v>
      </c>
      <c r="I624" s="204" t="s">
        <v>7362</v>
      </c>
    </row>
    <row r="625" spans="1:9" x14ac:dyDescent="0.25">
      <c r="A625" s="204" t="s">
        <v>692</v>
      </c>
      <c r="B625" s="9" t="str">
        <f t="shared" si="18"/>
        <v>13123014</v>
      </c>
      <c r="C625" s="9" t="str">
        <f>VLOOKUP(B625,COA!A:B,2,FALSE)</f>
        <v>BNYM HI -Credit Card &amp; Echeck E-Returns</v>
      </c>
      <c r="D625" s="338" t="str">
        <f t="shared" si="19"/>
        <v>C1312</v>
      </c>
      <c r="E625" s="338" t="s">
        <v>6885</v>
      </c>
      <c r="G625" s="338">
        <v>0</v>
      </c>
      <c r="H625" s="204" t="s">
        <v>77</v>
      </c>
      <c r="I625" s="204" t="s">
        <v>7362</v>
      </c>
    </row>
    <row r="626" spans="1:9" x14ac:dyDescent="0.25">
      <c r="A626" s="204" t="s">
        <v>693</v>
      </c>
      <c r="B626" s="9" t="str">
        <f t="shared" si="18"/>
        <v>13123015</v>
      </c>
      <c r="C626" s="9" t="str">
        <f>VLOOKUP(B626,COA!A:B,2,FALSE)</f>
        <v>BNYM HI - Customer A/R Ck Conversion</v>
      </c>
      <c r="D626" s="338" t="str">
        <f t="shared" si="19"/>
        <v>C1312</v>
      </c>
      <c r="E626" s="338" t="s">
        <v>6885</v>
      </c>
      <c r="G626" s="338">
        <v>0</v>
      </c>
      <c r="H626" s="204" t="s">
        <v>77</v>
      </c>
      <c r="I626" s="204" t="s">
        <v>7362</v>
      </c>
    </row>
    <row r="627" spans="1:9" x14ac:dyDescent="0.25">
      <c r="A627" s="204" t="s">
        <v>694</v>
      </c>
      <c r="B627" s="9" t="str">
        <f t="shared" si="18"/>
        <v>13123016</v>
      </c>
      <c r="C627" s="9" t="str">
        <f>VLOOKUP(B627,COA!A:B,2,FALSE)</f>
        <v>BNYM HI - NSF Return Payments</v>
      </c>
      <c r="D627" s="338" t="str">
        <f t="shared" si="19"/>
        <v>C1312</v>
      </c>
      <c r="E627" s="338" t="s">
        <v>6885</v>
      </c>
      <c r="G627" s="338">
        <v>0</v>
      </c>
      <c r="H627" s="204" t="s">
        <v>77</v>
      </c>
      <c r="I627" s="204" t="s">
        <v>7362</v>
      </c>
    </row>
    <row r="628" spans="1:9" x14ac:dyDescent="0.25">
      <c r="A628" s="204" t="s">
        <v>695</v>
      </c>
      <c r="B628" s="9" t="str">
        <f t="shared" si="18"/>
        <v>13123017</v>
      </c>
      <c r="C628" s="9" t="str">
        <f>VLOOKUP(B628,COA!A:B,2,FALSE)</f>
        <v>BNYM HI - Misc Debits/Credits</v>
      </c>
      <c r="D628" s="338" t="str">
        <f t="shared" si="19"/>
        <v>C1312</v>
      </c>
      <c r="E628" s="338" t="s">
        <v>6885</v>
      </c>
      <c r="G628" s="338">
        <v>0</v>
      </c>
      <c r="H628" s="204" t="s">
        <v>77</v>
      </c>
      <c r="I628" s="204" t="s">
        <v>7362</v>
      </c>
    </row>
    <row r="629" spans="1:9" x14ac:dyDescent="0.25">
      <c r="A629" s="204" t="s">
        <v>696</v>
      </c>
      <c r="B629" s="9" t="str">
        <f t="shared" si="18"/>
        <v>13123018</v>
      </c>
      <c r="C629" s="9" t="str">
        <f>VLOOKUP(B629,COA!A:B,2,FALSE)</f>
        <v>BNYM HI - Client Services - 3rd Party Collections</v>
      </c>
      <c r="D629" s="338" t="str">
        <f t="shared" si="19"/>
        <v>C1312</v>
      </c>
      <c r="E629" s="338" t="s">
        <v>6885</v>
      </c>
      <c r="G629" s="338">
        <v>0</v>
      </c>
      <c r="H629" s="204" t="s">
        <v>77</v>
      </c>
      <c r="I629" s="204" t="s">
        <v>7362</v>
      </c>
    </row>
    <row r="630" spans="1:9" x14ac:dyDescent="0.25">
      <c r="A630" s="204" t="s">
        <v>697</v>
      </c>
      <c r="B630" s="9" t="str">
        <f t="shared" si="18"/>
        <v>13123800</v>
      </c>
      <c r="C630" s="9" t="str">
        <f>VLOOKUP(B630,COA!A:B,2,FALSE)</f>
        <v>BNYM NY</v>
      </c>
      <c r="D630" s="338" t="str">
        <f t="shared" si="19"/>
        <v>C1312</v>
      </c>
      <c r="E630" s="338" t="s">
        <v>6885</v>
      </c>
      <c r="G630" s="338">
        <v>0</v>
      </c>
      <c r="H630" s="204" t="s">
        <v>77</v>
      </c>
      <c r="I630" s="204" t="s">
        <v>7362</v>
      </c>
    </row>
    <row r="631" spans="1:9" x14ac:dyDescent="0.25">
      <c r="A631" s="204" t="s">
        <v>698</v>
      </c>
      <c r="B631" s="9" t="str">
        <f t="shared" si="18"/>
        <v>13123801</v>
      </c>
      <c r="C631" s="9" t="str">
        <f>VLOOKUP(B631,COA!A:B,2,FALSE)</f>
        <v>BNYM NY - Outbound Wire</v>
      </c>
      <c r="D631" s="338" t="str">
        <f t="shared" si="19"/>
        <v>C1312</v>
      </c>
      <c r="E631" s="338" t="s">
        <v>6885</v>
      </c>
      <c r="G631" s="338">
        <v>0</v>
      </c>
      <c r="H631" s="204" t="s">
        <v>77</v>
      </c>
      <c r="I631" s="204" t="s">
        <v>7362</v>
      </c>
    </row>
    <row r="632" spans="1:9" x14ac:dyDescent="0.25">
      <c r="A632" s="204" t="s">
        <v>699</v>
      </c>
      <c r="B632" s="9" t="str">
        <f t="shared" si="18"/>
        <v>13123804</v>
      </c>
      <c r="C632" s="9" t="str">
        <f>VLOOKUP(B632,COA!A:B,2,FALSE)</f>
        <v>BNYM NY - Inbound Wires &amp; ACH</v>
      </c>
      <c r="D632" s="338" t="str">
        <f t="shared" si="19"/>
        <v>C1312</v>
      </c>
      <c r="E632" s="338" t="s">
        <v>6885</v>
      </c>
      <c r="G632" s="338">
        <v>0</v>
      </c>
      <c r="H632" s="204" t="s">
        <v>77</v>
      </c>
      <c r="I632" s="204" t="s">
        <v>7362</v>
      </c>
    </row>
    <row r="633" spans="1:9" x14ac:dyDescent="0.25">
      <c r="A633" s="204" t="s">
        <v>700</v>
      </c>
      <c r="B633" s="9" t="str">
        <f t="shared" si="18"/>
        <v>13123806</v>
      </c>
      <c r="C633" s="9" t="str">
        <f>VLOOKUP(B633,COA!A:B,2,FALSE)</f>
        <v>BNYM NY - Customer Direct Debit</v>
      </c>
      <c r="D633" s="338" t="str">
        <f t="shared" si="19"/>
        <v>C1312</v>
      </c>
      <c r="E633" s="338" t="s">
        <v>6885</v>
      </c>
      <c r="G633" s="338">
        <v>0</v>
      </c>
      <c r="H633" s="204" t="s">
        <v>77</v>
      </c>
      <c r="I633" s="204" t="s">
        <v>7362</v>
      </c>
    </row>
    <row r="634" spans="1:9" x14ac:dyDescent="0.25">
      <c r="A634" s="204" t="s">
        <v>701</v>
      </c>
      <c r="B634" s="9" t="str">
        <f t="shared" si="18"/>
        <v>13123807</v>
      </c>
      <c r="C634" s="9" t="str">
        <f>VLOOKUP(B634,COA!A:B,2,FALSE)</f>
        <v>BNYM NY - Customer ACH</v>
      </c>
      <c r="D634" s="338" t="str">
        <f t="shared" si="19"/>
        <v>C1312</v>
      </c>
      <c r="E634" s="338" t="s">
        <v>6885</v>
      </c>
      <c r="G634" s="338">
        <v>0</v>
      </c>
      <c r="H634" s="204" t="s">
        <v>77</v>
      </c>
      <c r="I634" s="204" t="s">
        <v>7362</v>
      </c>
    </row>
    <row r="635" spans="1:9" x14ac:dyDescent="0.25">
      <c r="A635" s="204" t="s">
        <v>702</v>
      </c>
      <c r="B635" s="9" t="str">
        <f t="shared" si="18"/>
        <v>13123808</v>
      </c>
      <c r="C635" s="9" t="str">
        <f>VLOOKUP(B635,COA!A:B,2,FALSE)</f>
        <v>BNYM NY - Customer Lockbox</v>
      </c>
      <c r="D635" s="338" t="str">
        <f t="shared" si="19"/>
        <v>C1312</v>
      </c>
      <c r="E635" s="338" t="s">
        <v>6885</v>
      </c>
      <c r="G635" s="338">
        <v>0</v>
      </c>
      <c r="H635" s="204" t="s">
        <v>77</v>
      </c>
      <c r="I635" s="204" t="s">
        <v>7362</v>
      </c>
    </row>
    <row r="636" spans="1:9" x14ac:dyDescent="0.25">
      <c r="A636" s="204" t="s">
        <v>703</v>
      </c>
      <c r="B636" s="9" t="str">
        <f t="shared" si="18"/>
        <v>13123809</v>
      </c>
      <c r="C636" s="9" t="str">
        <f>VLOOKUP(B636,COA!A:B,2,FALSE)</f>
        <v>BNYM NY - Credit Card and E-Checks</v>
      </c>
      <c r="D636" s="338" t="str">
        <f t="shared" si="19"/>
        <v>C1312</v>
      </c>
      <c r="E636" s="338" t="s">
        <v>6885</v>
      </c>
      <c r="G636" s="338">
        <v>0</v>
      </c>
      <c r="H636" s="204" t="s">
        <v>77</v>
      </c>
      <c r="I636" s="204" t="s">
        <v>7362</v>
      </c>
    </row>
    <row r="637" spans="1:9" x14ac:dyDescent="0.25">
      <c r="A637" s="204" t="s">
        <v>704</v>
      </c>
      <c r="B637" s="9" t="str">
        <f t="shared" si="18"/>
        <v>13123810</v>
      </c>
      <c r="C637" s="9" t="str">
        <f>VLOOKUP(B637,COA!A:B,2,FALSE)</f>
        <v>BNYM NY - First Tech</v>
      </c>
      <c r="D637" s="338" t="str">
        <f t="shared" si="19"/>
        <v>C1312</v>
      </c>
      <c r="E637" s="338" t="s">
        <v>6885</v>
      </c>
      <c r="G637" s="338">
        <v>0</v>
      </c>
      <c r="H637" s="204" t="s">
        <v>77</v>
      </c>
      <c r="I637" s="204" t="s">
        <v>7362</v>
      </c>
    </row>
    <row r="638" spans="1:9" x14ac:dyDescent="0.25">
      <c r="A638" s="204" t="s">
        <v>705</v>
      </c>
      <c r="B638" s="9" t="str">
        <f t="shared" si="18"/>
        <v>13123811</v>
      </c>
      <c r="C638" s="9" t="str">
        <f>VLOOKUP(B638,COA!A:B,2,FALSE)</f>
        <v>BNYM NY - FiServ (fka CheckFree)</v>
      </c>
      <c r="D638" s="338" t="str">
        <f t="shared" si="19"/>
        <v>C1312</v>
      </c>
      <c r="E638" s="338" t="s">
        <v>6885</v>
      </c>
      <c r="G638" s="338">
        <v>0</v>
      </c>
      <c r="H638" s="204" t="s">
        <v>77</v>
      </c>
      <c r="I638" s="204" t="s">
        <v>7362</v>
      </c>
    </row>
    <row r="639" spans="1:9" x14ac:dyDescent="0.25">
      <c r="A639" s="204" t="s">
        <v>706</v>
      </c>
      <c r="B639" s="9" t="str">
        <f t="shared" si="18"/>
        <v>13123812</v>
      </c>
      <c r="C639" s="9" t="str">
        <f>VLOOKUP(B639,COA!A:B,2,FALSE)</f>
        <v>BNYM NY - Penn Credit</v>
      </c>
      <c r="D639" s="338" t="str">
        <f t="shared" si="19"/>
        <v>C1312</v>
      </c>
      <c r="E639" s="338" t="s">
        <v>6885</v>
      </c>
      <c r="G639" s="338">
        <v>0</v>
      </c>
      <c r="H639" s="204" t="s">
        <v>77</v>
      </c>
      <c r="I639" s="204" t="s">
        <v>7362</v>
      </c>
    </row>
    <row r="640" spans="1:9" x14ac:dyDescent="0.25">
      <c r="A640" s="204" t="s">
        <v>707</v>
      </c>
      <c r="B640" s="9" t="str">
        <f t="shared" si="18"/>
        <v>13123813</v>
      </c>
      <c r="C640" s="9" t="str">
        <f>VLOOKUP(B640,COA!A:B,2,FALSE)</f>
        <v>BNYM NY - E-Return - Mellon</v>
      </c>
      <c r="D640" s="338" t="str">
        <f t="shared" si="19"/>
        <v>C1312</v>
      </c>
      <c r="E640" s="338" t="s">
        <v>6885</v>
      </c>
      <c r="G640" s="338">
        <v>0</v>
      </c>
      <c r="H640" s="204" t="s">
        <v>77</v>
      </c>
      <c r="I640" s="204" t="s">
        <v>7362</v>
      </c>
    </row>
    <row r="641" spans="1:9" x14ac:dyDescent="0.25">
      <c r="A641" s="204" t="s">
        <v>708</v>
      </c>
      <c r="B641" s="9" t="str">
        <f t="shared" si="18"/>
        <v>13123814</v>
      </c>
      <c r="C641" s="9" t="str">
        <f>VLOOKUP(B641,COA!A:B,2,FALSE)</f>
        <v>BNYM NY -Credit Card &amp; Echeck E-Returns</v>
      </c>
      <c r="D641" s="338" t="str">
        <f t="shared" si="19"/>
        <v>C1312</v>
      </c>
      <c r="E641" s="338" t="s">
        <v>6885</v>
      </c>
      <c r="G641" s="338">
        <v>0</v>
      </c>
      <c r="H641" s="204" t="s">
        <v>77</v>
      </c>
      <c r="I641" s="204" t="s">
        <v>7362</v>
      </c>
    </row>
    <row r="642" spans="1:9" x14ac:dyDescent="0.25">
      <c r="A642" s="204" t="s">
        <v>709</v>
      </c>
      <c r="B642" s="9" t="str">
        <f t="shared" si="18"/>
        <v>13123815</v>
      </c>
      <c r="C642" s="9" t="str">
        <f>VLOOKUP(B642,COA!A:B,2,FALSE)</f>
        <v>BNYM NY - Customer A/R Ck Conversion</v>
      </c>
      <c r="D642" s="338" t="str">
        <f t="shared" si="19"/>
        <v>C1312</v>
      </c>
      <c r="E642" s="338" t="s">
        <v>6885</v>
      </c>
      <c r="G642" s="338">
        <v>0</v>
      </c>
      <c r="H642" s="204" t="s">
        <v>77</v>
      </c>
      <c r="I642" s="204" t="s">
        <v>7362</v>
      </c>
    </row>
    <row r="643" spans="1:9" x14ac:dyDescent="0.25">
      <c r="A643" s="204" t="s">
        <v>710</v>
      </c>
      <c r="B643" s="9" t="str">
        <f t="shared" si="18"/>
        <v>13123816</v>
      </c>
      <c r="C643" s="9" t="str">
        <f>VLOOKUP(B643,COA!A:B,2,FALSE)</f>
        <v>BNYM NY - NSF Return Payments</v>
      </c>
      <c r="D643" s="338" t="str">
        <f t="shared" si="19"/>
        <v>C1312</v>
      </c>
      <c r="E643" s="338" t="s">
        <v>6885</v>
      </c>
      <c r="G643" s="338">
        <v>0</v>
      </c>
      <c r="H643" s="204" t="s">
        <v>77</v>
      </c>
      <c r="I643" s="204" t="s">
        <v>7362</v>
      </c>
    </row>
    <row r="644" spans="1:9" x14ac:dyDescent="0.25">
      <c r="A644" s="204" t="s">
        <v>711</v>
      </c>
      <c r="B644" s="9" t="str">
        <f t="shared" si="18"/>
        <v>13123817</v>
      </c>
      <c r="C644" s="9" t="str">
        <f>VLOOKUP(B644,COA!A:B,2,FALSE)</f>
        <v>BNYM NY - Misc Debits/Credits</v>
      </c>
      <c r="D644" s="338" t="str">
        <f t="shared" si="19"/>
        <v>C1312</v>
      </c>
      <c r="E644" s="338" t="s">
        <v>6885</v>
      </c>
      <c r="G644" s="338">
        <v>0</v>
      </c>
      <c r="H644" s="204" t="s">
        <v>77</v>
      </c>
      <c r="I644" s="204" t="s">
        <v>7362</v>
      </c>
    </row>
    <row r="645" spans="1:9" x14ac:dyDescent="0.25">
      <c r="A645" s="204" t="s">
        <v>712</v>
      </c>
      <c r="B645" s="9" t="str">
        <f t="shared" si="18"/>
        <v>13123818</v>
      </c>
      <c r="C645" s="9" t="str">
        <f>VLOOKUP(B645,COA!A:B,2,FALSE)</f>
        <v>BNYM NY - Client Services - 3rd Party Collections</v>
      </c>
      <c r="D645" s="338" t="str">
        <f t="shared" si="19"/>
        <v>C1312</v>
      </c>
      <c r="E645" s="338" t="s">
        <v>6885</v>
      </c>
      <c r="G645" s="338">
        <v>0</v>
      </c>
      <c r="H645" s="204" t="s">
        <v>77</v>
      </c>
      <c r="I645" s="204" t="s">
        <v>7362</v>
      </c>
    </row>
    <row r="646" spans="1:9" x14ac:dyDescent="0.25">
      <c r="A646" s="204" t="s">
        <v>713</v>
      </c>
      <c r="B646" s="9" t="str">
        <f t="shared" si="18"/>
        <v>13125200</v>
      </c>
      <c r="C646" s="9" t="str">
        <f>VLOOKUP(B646,COA!A:B,2,FALSE)</f>
        <v>BNYM EWC</v>
      </c>
      <c r="D646" s="338" t="str">
        <f t="shared" si="19"/>
        <v>C1312</v>
      </c>
      <c r="E646" s="338" t="s">
        <v>6885</v>
      </c>
      <c r="G646" s="338">
        <v>0</v>
      </c>
      <c r="H646" s="204" t="s">
        <v>77</v>
      </c>
      <c r="I646" s="204" t="s">
        <v>7362</v>
      </c>
    </row>
    <row r="647" spans="1:9" x14ac:dyDescent="0.25">
      <c r="A647" s="204" t="s">
        <v>714</v>
      </c>
      <c r="B647" s="9" t="str">
        <f t="shared" si="18"/>
        <v>13125201</v>
      </c>
      <c r="C647" s="9" t="str">
        <f>VLOOKUP(B647,COA!A:B,2,FALSE)</f>
        <v>BNYM EWC - Outbound Wire</v>
      </c>
      <c r="D647" s="338" t="str">
        <f t="shared" si="19"/>
        <v>C1312</v>
      </c>
      <c r="E647" s="338" t="s">
        <v>6885</v>
      </c>
      <c r="G647" s="338">
        <v>0</v>
      </c>
      <c r="H647" s="204" t="s">
        <v>77</v>
      </c>
      <c r="I647" s="204" t="s">
        <v>7362</v>
      </c>
    </row>
    <row r="648" spans="1:9" x14ac:dyDescent="0.25">
      <c r="A648" s="204" t="s">
        <v>715</v>
      </c>
      <c r="B648" s="9" t="str">
        <f t="shared" si="18"/>
        <v>13125204</v>
      </c>
      <c r="C648" s="9" t="str">
        <f>VLOOKUP(B648,COA!A:B,2,FALSE)</f>
        <v>BNYM EWC - Inbound Wires &amp; ACH</v>
      </c>
      <c r="D648" s="338" t="str">
        <f t="shared" si="19"/>
        <v>C1312</v>
      </c>
      <c r="E648" s="338" t="s">
        <v>6885</v>
      </c>
      <c r="G648" s="338">
        <v>0</v>
      </c>
      <c r="H648" s="204" t="s">
        <v>77</v>
      </c>
      <c r="I648" s="204" t="s">
        <v>7362</v>
      </c>
    </row>
    <row r="649" spans="1:9" x14ac:dyDescent="0.25">
      <c r="A649" s="204" t="s">
        <v>716</v>
      </c>
      <c r="B649" s="9" t="str">
        <f t="shared" ref="B649:B712" si="20">RIGHT(A649,8)</f>
        <v>13125206</v>
      </c>
      <c r="C649" s="9" t="str">
        <f>VLOOKUP(B649,COA!A:B,2,FALSE)</f>
        <v>BNYM EWC - Customer Direct Debit</v>
      </c>
      <c r="D649" s="338" t="str">
        <f t="shared" si="19"/>
        <v>C1312</v>
      </c>
      <c r="E649" s="338" t="s">
        <v>6885</v>
      </c>
      <c r="G649" s="338">
        <v>0</v>
      </c>
      <c r="H649" s="204" t="s">
        <v>77</v>
      </c>
      <c r="I649" s="204" t="s">
        <v>7362</v>
      </c>
    </row>
    <row r="650" spans="1:9" x14ac:dyDescent="0.25">
      <c r="A650" s="204" t="s">
        <v>717</v>
      </c>
      <c r="B650" s="9" t="str">
        <f t="shared" si="20"/>
        <v>13125208</v>
      </c>
      <c r="C650" s="9" t="str">
        <f>VLOOKUP(B650,COA!A:B,2,FALSE)</f>
        <v>BNYM EWC - Customer Lockbox</v>
      </c>
      <c r="D650" s="338" t="str">
        <f t="shared" si="19"/>
        <v>C1312</v>
      </c>
      <c r="E650" s="338" t="s">
        <v>6885</v>
      </c>
      <c r="G650" s="338">
        <v>0</v>
      </c>
      <c r="H650" s="204" t="s">
        <v>77</v>
      </c>
      <c r="I650" s="204" t="s">
        <v>7362</v>
      </c>
    </row>
    <row r="651" spans="1:9" x14ac:dyDescent="0.25">
      <c r="A651" s="204" t="s">
        <v>718</v>
      </c>
      <c r="B651" s="9" t="str">
        <f t="shared" si="20"/>
        <v>13125209</v>
      </c>
      <c r="C651" s="9" t="str">
        <f>VLOOKUP(B651,COA!A:B,2,FALSE)</f>
        <v>BNYM EWC - Online Resources Credit Corp</v>
      </c>
      <c r="D651" s="338" t="str">
        <f t="shared" ref="D651:D714" si="21">+I651</f>
        <v>C1312</v>
      </c>
      <c r="E651" s="338" t="s">
        <v>6885</v>
      </c>
      <c r="G651" s="338">
        <v>0</v>
      </c>
      <c r="H651" s="204" t="s">
        <v>77</v>
      </c>
      <c r="I651" s="204" t="s">
        <v>7362</v>
      </c>
    </row>
    <row r="652" spans="1:9" x14ac:dyDescent="0.25">
      <c r="A652" s="204" t="s">
        <v>719</v>
      </c>
      <c r="B652" s="9" t="str">
        <f t="shared" si="20"/>
        <v>13125210</v>
      </c>
      <c r="C652" s="9" t="str">
        <f>VLOOKUP(B652,COA!A:B,2,FALSE)</f>
        <v>BNYM EWC - First Tech</v>
      </c>
      <c r="D652" s="338" t="str">
        <f t="shared" si="21"/>
        <v>C1312</v>
      </c>
      <c r="E652" s="338" t="s">
        <v>6885</v>
      </c>
      <c r="G652" s="338">
        <v>0</v>
      </c>
      <c r="H652" s="204" t="s">
        <v>77</v>
      </c>
      <c r="I652" s="204" t="s">
        <v>7362</v>
      </c>
    </row>
    <row r="653" spans="1:9" x14ac:dyDescent="0.25">
      <c r="A653" s="204" t="s">
        <v>720</v>
      </c>
      <c r="B653" s="9" t="str">
        <f t="shared" si="20"/>
        <v>13125211</v>
      </c>
      <c r="C653" s="9" t="str">
        <f>VLOOKUP(B653,COA!A:B,2,FALSE)</f>
        <v>BNYM EWC - FiServ (fka CheckFree)</v>
      </c>
      <c r="D653" s="338" t="str">
        <f t="shared" si="21"/>
        <v>C1312</v>
      </c>
      <c r="E653" s="338" t="s">
        <v>6885</v>
      </c>
      <c r="G653" s="338">
        <v>0</v>
      </c>
      <c r="H653" s="204" t="s">
        <v>77</v>
      </c>
      <c r="I653" s="204" t="s">
        <v>7362</v>
      </c>
    </row>
    <row r="654" spans="1:9" x14ac:dyDescent="0.25">
      <c r="A654" s="204" t="s">
        <v>721</v>
      </c>
      <c r="B654" s="9" t="str">
        <f t="shared" si="20"/>
        <v>13125212</v>
      </c>
      <c r="C654" s="9" t="str">
        <f>VLOOKUP(B654,COA!A:B,2,FALSE)</f>
        <v>BNYM EWC - Penn Credit</v>
      </c>
      <c r="D654" s="338" t="str">
        <f t="shared" si="21"/>
        <v>C1312</v>
      </c>
      <c r="E654" s="338" t="s">
        <v>6885</v>
      </c>
      <c r="G654" s="338">
        <v>0</v>
      </c>
      <c r="H654" s="204" t="s">
        <v>77</v>
      </c>
      <c r="I654" s="204" t="s">
        <v>7362</v>
      </c>
    </row>
    <row r="655" spans="1:9" x14ac:dyDescent="0.25">
      <c r="A655" s="204" t="s">
        <v>722</v>
      </c>
      <c r="B655" s="9" t="str">
        <f t="shared" si="20"/>
        <v>13125213</v>
      </c>
      <c r="C655" s="9" t="str">
        <f>VLOOKUP(B655,COA!A:B,2,FALSE)</f>
        <v>BNYM EWC - E-Return - Mellon</v>
      </c>
      <c r="D655" s="338" t="str">
        <f t="shared" si="21"/>
        <v>C1312</v>
      </c>
      <c r="E655" s="338" t="s">
        <v>6885</v>
      </c>
      <c r="G655" s="338">
        <v>0</v>
      </c>
      <c r="H655" s="204" t="s">
        <v>77</v>
      </c>
      <c r="I655" s="204" t="s">
        <v>7362</v>
      </c>
    </row>
    <row r="656" spans="1:9" x14ac:dyDescent="0.25">
      <c r="A656" s="204" t="s">
        <v>723</v>
      </c>
      <c r="B656" s="9" t="str">
        <f t="shared" si="20"/>
        <v>13125214</v>
      </c>
      <c r="C656" s="9" t="str">
        <f>VLOOKUP(B656,COA!A:B,2,FALSE)</f>
        <v>BNYM EWC - E-Return - Online Resource Ck Conv</v>
      </c>
      <c r="D656" s="338" t="str">
        <f t="shared" si="21"/>
        <v>C1312</v>
      </c>
      <c r="E656" s="338" t="s">
        <v>6885</v>
      </c>
      <c r="G656" s="338">
        <v>0</v>
      </c>
      <c r="H656" s="204" t="s">
        <v>77</v>
      </c>
      <c r="I656" s="204" t="s">
        <v>7362</v>
      </c>
    </row>
    <row r="657" spans="1:9" x14ac:dyDescent="0.25">
      <c r="A657" s="204" t="s">
        <v>724</v>
      </c>
      <c r="B657" s="9" t="str">
        <f t="shared" si="20"/>
        <v>13125215</v>
      </c>
      <c r="C657" s="9" t="str">
        <f>VLOOKUP(B657,COA!A:B,2,FALSE)</f>
        <v>BNYM EWC - Customer A/R Ck Conversion</v>
      </c>
      <c r="D657" s="338" t="str">
        <f t="shared" si="21"/>
        <v>C1312</v>
      </c>
      <c r="E657" s="338" t="s">
        <v>6885</v>
      </c>
      <c r="G657" s="338">
        <v>0</v>
      </c>
      <c r="H657" s="204" t="s">
        <v>77</v>
      </c>
      <c r="I657" s="204" t="s">
        <v>7362</v>
      </c>
    </row>
    <row r="658" spans="1:9" x14ac:dyDescent="0.25">
      <c r="A658" s="204" t="s">
        <v>725</v>
      </c>
      <c r="B658" s="9" t="str">
        <f t="shared" si="20"/>
        <v>13125216</v>
      </c>
      <c r="C658" s="9" t="str">
        <f>VLOOKUP(B658,COA!A:B,2,FALSE)</f>
        <v>BNYM EWC - NSF Return Payments</v>
      </c>
      <c r="D658" s="338" t="str">
        <f t="shared" si="21"/>
        <v>C1312</v>
      </c>
      <c r="E658" s="338" t="s">
        <v>6885</v>
      </c>
      <c r="G658" s="338">
        <v>0</v>
      </c>
      <c r="H658" s="204" t="s">
        <v>77</v>
      </c>
      <c r="I658" s="204" t="s">
        <v>7362</v>
      </c>
    </row>
    <row r="659" spans="1:9" x14ac:dyDescent="0.25">
      <c r="A659" s="204" t="s">
        <v>726</v>
      </c>
      <c r="B659" s="9" t="str">
        <f t="shared" si="20"/>
        <v>13125217</v>
      </c>
      <c r="C659" s="9" t="str">
        <f>VLOOKUP(B659,COA!A:B,2,FALSE)</f>
        <v>BNYM EWC - Misc Debits/Credits</v>
      </c>
      <c r="D659" s="338" t="str">
        <f t="shared" si="21"/>
        <v>C1312</v>
      </c>
      <c r="E659" s="338" t="s">
        <v>6885</v>
      </c>
      <c r="G659" s="338">
        <v>0</v>
      </c>
      <c r="H659" s="204" t="s">
        <v>77</v>
      </c>
      <c r="I659" s="204" t="s">
        <v>7362</v>
      </c>
    </row>
    <row r="660" spans="1:9" x14ac:dyDescent="0.25">
      <c r="A660" s="204" t="s">
        <v>727</v>
      </c>
      <c r="B660" s="9" t="str">
        <f t="shared" si="20"/>
        <v>13125300</v>
      </c>
      <c r="C660" s="9" t="str">
        <f>VLOOKUP(B660,COA!A:B,2,FALSE)</f>
        <v>BNYM MH</v>
      </c>
      <c r="D660" s="338" t="str">
        <f t="shared" si="21"/>
        <v>C1312</v>
      </c>
      <c r="E660" s="338" t="s">
        <v>6885</v>
      </c>
      <c r="G660" s="338">
        <v>0</v>
      </c>
      <c r="H660" s="204" t="s">
        <v>77</v>
      </c>
      <c r="I660" s="204" t="s">
        <v>7362</v>
      </c>
    </row>
    <row r="661" spans="1:9" x14ac:dyDescent="0.25">
      <c r="A661" s="204" t="s">
        <v>728</v>
      </c>
      <c r="B661" s="9" t="str">
        <f t="shared" si="20"/>
        <v>13125301</v>
      </c>
      <c r="C661" s="9" t="str">
        <f>VLOOKUP(B661,COA!A:B,2,FALSE)</f>
        <v>BNYM MH - Outbound Wire</v>
      </c>
      <c r="D661" s="338" t="str">
        <f t="shared" si="21"/>
        <v>C1312</v>
      </c>
      <c r="E661" s="338" t="s">
        <v>6885</v>
      </c>
      <c r="G661" s="338">
        <v>0</v>
      </c>
      <c r="H661" s="204" t="s">
        <v>77</v>
      </c>
      <c r="I661" s="204" t="s">
        <v>7362</v>
      </c>
    </row>
    <row r="662" spans="1:9" x14ac:dyDescent="0.25">
      <c r="A662" s="204" t="s">
        <v>729</v>
      </c>
      <c r="B662" s="9" t="str">
        <f t="shared" si="20"/>
        <v>13125306</v>
      </c>
      <c r="C662" s="9" t="str">
        <f>VLOOKUP(B662,COA!A:B,2,FALSE)</f>
        <v>BNYM MH - Customer Direct Debit</v>
      </c>
      <c r="D662" s="338" t="str">
        <f t="shared" si="21"/>
        <v>C1312</v>
      </c>
      <c r="E662" s="338" t="s">
        <v>6885</v>
      </c>
      <c r="G662" s="338">
        <v>0</v>
      </c>
      <c r="H662" s="204" t="s">
        <v>77</v>
      </c>
      <c r="I662" s="204" t="s">
        <v>7362</v>
      </c>
    </row>
    <row r="663" spans="1:9" x14ac:dyDescent="0.25">
      <c r="A663" s="204" t="s">
        <v>730</v>
      </c>
      <c r="B663" s="9" t="str">
        <f t="shared" si="20"/>
        <v>13125308</v>
      </c>
      <c r="C663" s="9" t="str">
        <f>VLOOKUP(B663,COA!A:B,2,FALSE)</f>
        <v>BNYM MH - Customer Lockbox</v>
      </c>
      <c r="D663" s="338" t="str">
        <f t="shared" si="21"/>
        <v>C1312</v>
      </c>
      <c r="E663" s="338" t="s">
        <v>6885</v>
      </c>
      <c r="G663" s="338">
        <v>0</v>
      </c>
      <c r="H663" s="204" t="s">
        <v>77</v>
      </c>
      <c r="I663" s="204" t="s">
        <v>7362</v>
      </c>
    </row>
    <row r="664" spans="1:9" x14ac:dyDescent="0.25">
      <c r="A664" s="204" t="s">
        <v>731</v>
      </c>
      <c r="B664" s="9" t="str">
        <f t="shared" si="20"/>
        <v>13125309</v>
      </c>
      <c r="C664" s="9" t="str">
        <f>VLOOKUP(B664,COA!A:B,2,FALSE)</f>
        <v>BNYM MH - Online Resources Credit Corp</v>
      </c>
      <c r="D664" s="338" t="str">
        <f t="shared" si="21"/>
        <v>C1312</v>
      </c>
      <c r="E664" s="338" t="s">
        <v>6885</v>
      </c>
      <c r="G664" s="338">
        <v>0</v>
      </c>
      <c r="H664" s="204" t="s">
        <v>77</v>
      </c>
      <c r="I664" s="204" t="s">
        <v>7362</v>
      </c>
    </row>
    <row r="665" spans="1:9" x14ac:dyDescent="0.25">
      <c r="A665" s="204" t="s">
        <v>732</v>
      </c>
      <c r="B665" s="9" t="str">
        <f t="shared" si="20"/>
        <v>13125310</v>
      </c>
      <c r="C665" s="9" t="str">
        <f>VLOOKUP(B665,COA!A:B,2,FALSE)</f>
        <v>BNYM MH - First Tech</v>
      </c>
      <c r="D665" s="338" t="str">
        <f t="shared" si="21"/>
        <v>C1312</v>
      </c>
      <c r="E665" s="338" t="s">
        <v>6885</v>
      </c>
      <c r="G665" s="338">
        <v>0</v>
      </c>
      <c r="H665" s="204" t="s">
        <v>77</v>
      </c>
      <c r="I665" s="204" t="s">
        <v>7362</v>
      </c>
    </row>
    <row r="666" spans="1:9" x14ac:dyDescent="0.25">
      <c r="A666" s="204" t="s">
        <v>733</v>
      </c>
      <c r="B666" s="9" t="str">
        <f t="shared" si="20"/>
        <v>13125311</v>
      </c>
      <c r="C666" s="9" t="str">
        <f>VLOOKUP(B666,COA!A:B,2,FALSE)</f>
        <v>BNYM MH - FiServ (fka CheckFree)</v>
      </c>
      <c r="D666" s="338" t="str">
        <f t="shared" si="21"/>
        <v>C1312</v>
      </c>
      <c r="E666" s="338" t="s">
        <v>6885</v>
      </c>
      <c r="G666" s="338">
        <v>0</v>
      </c>
      <c r="H666" s="204" t="s">
        <v>77</v>
      </c>
      <c r="I666" s="204" t="s">
        <v>7362</v>
      </c>
    </row>
    <row r="667" spans="1:9" x14ac:dyDescent="0.25">
      <c r="A667" s="204" t="s">
        <v>734</v>
      </c>
      <c r="B667" s="9" t="str">
        <f t="shared" si="20"/>
        <v>13125312</v>
      </c>
      <c r="C667" s="9" t="str">
        <f>VLOOKUP(B667,COA!A:B,2,FALSE)</f>
        <v>BNYM MH - Penn Credit</v>
      </c>
      <c r="D667" s="338" t="str">
        <f t="shared" si="21"/>
        <v>C1312</v>
      </c>
      <c r="E667" s="338" t="s">
        <v>6885</v>
      </c>
      <c r="G667" s="338">
        <v>0</v>
      </c>
      <c r="H667" s="204" t="s">
        <v>77</v>
      </c>
      <c r="I667" s="204" t="s">
        <v>7362</v>
      </c>
    </row>
    <row r="668" spans="1:9" x14ac:dyDescent="0.25">
      <c r="A668" s="204" t="s">
        <v>735</v>
      </c>
      <c r="B668" s="9" t="str">
        <f t="shared" si="20"/>
        <v>13125313</v>
      </c>
      <c r="C668" s="9" t="str">
        <f>VLOOKUP(B668,COA!A:B,2,FALSE)</f>
        <v>BNYM MH - E-Return - Mellon</v>
      </c>
      <c r="D668" s="338" t="str">
        <f t="shared" si="21"/>
        <v>C1312</v>
      </c>
      <c r="E668" s="338" t="s">
        <v>6885</v>
      </c>
      <c r="G668" s="338">
        <v>0</v>
      </c>
      <c r="H668" s="204" t="s">
        <v>77</v>
      </c>
      <c r="I668" s="204" t="s">
        <v>7362</v>
      </c>
    </row>
    <row r="669" spans="1:9" x14ac:dyDescent="0.25">
      <c r="A669" s="204" t="s">
        <v>736</v>
      </c>
      <c r="B669" s="9" t="str">
        <f t="shared" si="20"/>
        <v>13125314</v>
      </c>
      <c r="C669" s="9" t="str">
        <f>VLOOKUP(B669,COA!A:B,2,FALSE)</f>
        <v>BNYM MH - E-Return - Online Resource Ck Conv</v>
      </c>
      <c r="D669" s="338" t="str">
        <f t="shared" si="21"/>
        <v>C1312</v>
      </c>
      <c r="E669" s="338" t="s">
        <v>6885</v>
      </c>
      <c r="G669" s="338">
        <v>0</v>
      </c>
      <c r="H669" s="204" t="s">
        <v>77</v>
      </c>
      <c r="I669" s="204" t="s">
        <v>7362</v>
      </c>
    </row>
    <row r="670" spans="1:9" x14ac:dyDescent="0.25">
      <c r="A670" s="204" t="s">
        <v>737</v>
      </c>
      <c r="B670" s="9" t="str">
        <f t="shared" si="20"/>
        <v>13125315</v>
      </c>
      <c r="C670" s="9" t="str">
        <f>VLOOKUP(B670,COA!A:B,2,FALSE)</f>
        <v>BNYM MH - Customer A/R Ck Conversion</v>
      </c>
      <c r="D670" s="338" t="str">
        <f t="shared" si="21"/>
        <v>C1312</v>
      </c>
      <c r="E670" s="338" t="s">
        <v>6885</v>
      </c>
      <c r="G670" s="338">
        <v>0</v>
      </c>
      <c r="H670" s="204" t="s">
        <v>77</v>
      </c>
      <c r="I670" s="204" t="s">
        <v>7362</v>
      </c>
    </row>
    <row r="671" spans="1:9" x14ac:dyDescent="0.25">
      <c r="A671" s="204" t="s">
        <v>738</v>
      </c>
      <c r="B671" s="9" t="str">
        <f t="shared" si="20"/>
        <v>13125316</v>
      </c>
      <c r="C671" s="9" t="str">
        <f>VLOOKUP(B671,COA!A:B,2,FALSE)</f>
        <v>BNYM MH - NSF - Return Payments</v>
      </c>
      <c r="D671" s="338" t="str">
        <f t="shared" si="21"/>
        <v>C1312</v>
      </c>
      <c r="E671" s="338" t="s">
        <v>6885</v>
      </c>
      <c r="G671" s="338">
        <v>0</v>
      </c>
      <c r="H671" s="204" t="s">
        <v>77</v>
      </c>
      <c r="I671" s="204" t="s">
        <v>7362</v>
      </c>
    </row>
    <row r="672" spans="1:9" x14ac:dyDescent="0.25">
      <c r="A672" s="204" t="s">
        <v>739</v>
      </c>
      <c r="B672" s="9" t="str">
        <f t="shared" si="20"/>
        <v>13125317</v>
      </c>
      <c r="C672" s="9" t="str">
        <f>VLOOKUP(B672,COA!A:B,2,FALSE)</f>
        <v>BNYM MH - Misc Debits/Credits</v>
      </c>
      <c r="D672" s="338" t="str">
        <f t="shared" si="21"/>
        <v>C1312</v>
      </c>
      <c r="E672" s="338" t="s">
        <v>6885</v>
      </c>
      <c r="G672" s="338">
        <v>0</v>
      </c>
      <c r="H672" s="204" t="s">
        <v>77</v>
      </c>
      <c r="I672" s="204" t="s">
        <v>7362</v>
      </c>
    </row>
    <row r="673" spans="1:9" x14ac:dyDescent="0.25">
      <c r="A673" s="204" t="s">
        <v>740</v>
      </c>
      <c r="B673" s="9" t="str">
        <f t="shared" si="20"/>
        <v>13140000</v>
      </c>
      <c r="C673" s="9" t="str">
        <f>VLOOKUP(B673,COA!A:B,2,FALSE)</f>
        <v>PNC AWCC-Concentration</v>
      </c>
      <c r="D673" s="338" t="str">
        <f t="shared" si="21"/>
        <v>C234</v>
      </c>
      <c r="E673" s="338" t="s">
        <v>6885</v>
      </c>
      <c r="G673" s="338">
        <v>0</v>
      </c>
      <c r="H673" s="204" t="s">
        <v>77</v>
      </c>
      <c r="I673" s="204" t="s">
        <v>7363</v>
      </c>
    </row>
    <row r="674" spans="1:9" x14ac:dyDescent="0.25">
      <c r="A674" s="204" t="s">
        <v>741</v>
      </c>
      <c r="B674" s="9" t="str">
        <f t="shared" si="20"/>
        <v>13140001</v>
      </c>
      <c r="C674" s="9" t="str">
        <f>VLOOKUP(B674,COA!A:B,2,FALSE)</f>
        <v>PNC AWCC-Concentration - Outbound Wire</v>
      </c>
      <c r="D674" s="338" t="str">
        <f t="shared" si="21"/>
        <v>C234</v>
      </c>
      <c r="E674" s="338" t="s">
        <v>6885</v>
      </c>
      <c r="G674" s="338">
        <v>0</v>
      </c>
      <c r="H674" s="204" t="s">
        <v>77</v>
      </c>
      <c r="I674" s="204" t="s">
        <v>7363</v>
      </c>
    </row>
    <row r="675" spans="1:9" x14ac:dyDescent="0.25">
      <c r="A675" s="204" t="s">
        <v>742</v>
      </c>
      <c r="B675" s="9" t="str">
        <f t="shared" si="20"/>
        <v>13140002</v>
      </c>
      <c r="C675" s="9" t="str">
        <f>VLOOKUP(B675,COA!A:B,2,FALSE)</f>
        <v>PNC AWCC-Concentration - Outbound ACH</v>
      </c>
      <c r="D675" s="338" t="str">
        <f t="shared" si="21"/>
        <v>C234</v>
      </c>
      <c r="E675" s="338" t="s">
        <v>6885</v>
      </c>
      <c r="G675" s="338">
        <v>0</v>
      </c>
      <c r="H675" s="204" t="s">
        <v>77</v>
      </c>
      <c r="I675" s="204" t="s">
        <v>7363</v>
      </c>
    </row>
    <row r="676" spans="1:9" x14ac:dyDescent="0.25">
      <c r="A676" s="204" t="s">
        <v>743</v>
      </c>
      <c r="B676" s="9" t="str">
        <f t="shared" si="20"/>
        <v>13140004</v>
      </c>
      <c r="C676" s="9" t="str">
        <f>VLOOKUP(B676,COA!A:B,2,FALSE)</f>
        <v>PNC AWCC-Concentration - Inbound Wires &amp; ACH</v>
      </c>
      <c r="D676" s="338" t="str">
        <f t="shared" si="21"/>
        <v>C234</v>
      </c>
      <c r="E676" s="338" t="s">
        <v>6885</v>
      </c>
      <c r="G676" s="338">
        <v>0</v>
      </c>
      <c r="H676" s="204" t="s">
        <v>77</v>
      </c>
      <c r="I676" s="204" t="s">
        <v>7363</v>
      </c>
    </row>
    <row r="677" spans="1:9" x14ac:dyDescent="0.25">
      <c r="A677" s="204" t="s">
        <v>744</v>
      </c>
      <c r="B677" s="9" t="str">
        <f t="shared" si="20"/>
        <v>13140005</v>
      </c>
      <c r="C677" s="9" t="str">
        <f>VLOOKUP(B677,COA!A:B,2,FALSE)</f>
        <v>PNC AWCC-Concentration - ZBA Activity</v>
      </c>
      <c r="D677" s="338" t="str">
        <f t="shared" si="21"/>
        <v>C234</v>
      </c>
      <c r="E677" s="338" t="s">
        <v>6885</v>
      </c>
      <c r="G677" s="338">
        <v>0</v>
      </c>
      <c r="H677" s="204" t="s">
        <v>77</v>
      </c>
      <c r="I677" s="204" t="s">
        <v>7363</v>
      </c>
    </row>
    <row r="678" spans="1:9" x14ac:dyDescent="0.25">
      <c r="A678" s="204" t="s">
        <v>745</v>
      </c>
      <c r="B678" s="9" t="str">
        <f t="shared" si="20"/>
        <v>13140012</v>
      </c>
      <c r="C678" s="9" t="str">
        <f>VLOOKUP(B678,COA!A:B,2,FALSE)</f>
        <v>PNC AWCC-Concentration - Penn Credit</v>
      </c>
      <c r="D678" s="338" t="str">
        <f t="shared" si="21"/>
        <v>C234</v>
      </c>
      <c r="E678" s="338" t="s">
        <v>6885</v>
      </c>
      <c r="G678" s="338">
        <v>0</v>
      </c>
      <c r="H678" s="204" t="s">
        <v>77</v>
      </c>
      <c r="I678" s="204" t="s">
        <v>7363</v>
      </c>
    </row>
    <row r="679" spans="1:9" x14ac:dyDescent="0.25">
      <c r="A679" s="204" t="s">
        <v>746</v>
      </c>
      <c r="B679" s="9" t="str">
        <f t="shared" si="20"/>
        <v>13140017</v>
      </c>
      <c r="C679" s="9" t="str">
        <f>VLOOKUP(B679,COA!A:B,2,FALSE)</f>
        <v>PNC AWCC-Concentration - Misc Debits/Credits</v>
      </c>
      <c r="D679" s="338" t="str">
        <f t="shared" si="21"/>
        <v>C234</v>
      </c>
      <c r="E679" s="338" t="s">
        <v>6885</v>
      </c>
      <c r="G679" s="338">
        <v>0</v>
      </c>
      <c r="H679" s="204" t="s">
        <v>77</v>
      </c>
      <c r="I679" s="204" t="s">
        <v>7363</v>
      </c>
    </row>
    <row r="680" spans="1:9" x14ac:dyDescent="0.25">
      <c r="A680" s="204" t="s">
        <v>747</v>
      </c>
      <c r="B680" s="9" t="str">
        <f t="shared" si="20"/>
        <v>13140100</v>
      </c>
      <c r="C680" s="9" t="str">
        <f>VLOOKUP(B680,COA!A:B,2,FALSE)</f>
        <v>PNC AWCC-Accounts Payable</v>
      </c>
      <c r="D680" s="338" t="str">
        <f t="shared" si="21"/>
        <v>C234</v>
      </c>
      <c r="E680" s="338" t="s">
        <v>6885</v>
      </c>
      <c r="G680" s="338">
        <v>0</v>
      </c>
      <c r="H680" s="204" t="s">
        <v>77</v>
      </c>
      <c r="I680" s="204" t="s">
        <v>7363</v>
      </c>
    </row>
    <row r="681" spans="1:9" x14ac:dyDescent="0.25">
      <c r="A681" s="204" t="s">
        <v>748</v>
      </c>
      <c r="B681" s="9" t="str">
        <f t="shared" si="20"/>
        <v>13140102</v>
      </c>
      <c r="C681" s="9" t="str">
        <f>VLOOKUP(B681,COA!A:B,2,FALSE)</f>
        <v>PNC AWCC-Accounts Payable - Outbound ACH</v>
      </c>
      <c r="D681" s="338" t="str">
        <f t="shared" si="21"/>
        <v>C234</v>
      </c>
      <c r="E681" s="338" t="s">
        <v>6885</v>
      </c>
      <c r="G681" s="338">
        <v>0</v>
      </c>
      <c r="H681" s="204" t="s">
        <v>77</v>
      </c>
      <c r="I681" s="204" t="s">
        <v>7363</v>
      </c>
    </row>
    <row r="682" spans="1:9" x14ac:dyDescent="0.25">
      <c r="A682" s="204" t="s">
        <v>749</v>
      </c>
      <c r="B682" s="9" t="str">
        <f t="shared" si="20"/>
        <v>13140103</v>
      </c>
      <c r="C682" s="9" t="str">
        <f>VLOOKUP(B682,COA!A:B,2,FALSE)</f>
        <v>PNC AWCC-Accounts Payable - Outbound Check</v>
      </c>
      <c r="D682" s="338" t="str">
        <f t="shared" si="21"/>
        <v>C234</v>
      </c>
      <c r="E682" s="338" t="s">
        <v>6885</v>
      </c>
      <c r="G682" s="338">
        <v>0</v>
      </c>
      <c r="H682" s="204" t="s">
        <v>77</v>
      </c>
      <c r="I682" s="204" t="s">
        <v>7363</v>
      </c>
    </row>
    <row r="683" spans="1:9" x14ac:dyDescent="0.25">
      <c r="A683" s="204" t="s">
        <v>750</v>
      </c>
      <c r="B683" s="9" t="str">
        <f t="shared" si="20"/>
        <v>13140104</v>
      </c>
      <c r="C683" s="9" t="str">
        <f>VLOOKUP(B683,COA!A:B,2,FALSE)</f>
        <v>PNC AWCC-Accounts Payable - Inbound Wires &amp; ACH</v>
      </c>
      <c r="D683" s="338" t="str">
        <f t="shared" si="21"/>
        <v>C234</v>
      </c>
      <c r="E683" s="338" t="s">
        <v>6885</v>
      </c>
      <c r="G683" s="338">
        <v>0</v>
      </c>
      <c r="H683" s="204" t="s">
        <v>77</v>
      </c>
      <c r="I683" s="204" t="s">
        <v>7363</v>
      </c>
    </row>
    <row r="684" spans="1:9" x14ac:dyDescent="0.25">
      <c r="A684" s="204" t="s">
        <v>751</v>
      </c>
      <c r="B684" s="9" t="str">
        <f t="shared" si="20"/>
        <v>13140105</v>
      </c>
      <c r="C684" s="9" t="str">
        <f>VLOOKUP(B684,COA!A:B,2,FALSE)</f>
        <v>PNC AWCC-Accounts Payable - ZBA Activity</v>
      </c>
      <c r="D684" s="338" t="str">
        <f t="shared" si="21"/>
        <v>C234</v>
      </c>
      <c r="E684" s="338" t="s">
        <v>6885</v>
      </c>
      <c r="G684" s="338">
        <v>0</v>
      </c>
      <c r="H684" s="204" t="s">
        <v>77</v>
      </c>
      <c r="I684" s="204" t="s">
        <v>7363</v>
      </c>
    </row>
    <row r="685" spans="1:9" x14ac:dyDescent="0.25">
      <c r="A685" s="204" t="s">
        <v>752</v>
      </c>
      <c r="B685" s="9" t="str">
        <f t="shared" si="20"/>
        <v>13140117</v>
      </c>
      <c r="C685" s="9" t="str">
        <f>VLOOKUP(B685,COA!A:B,2,FALSE)</f>
        <v>PNC AWCC-Accounts Payable - Misc Debits/Credits</v>
      </c>
      <c r="D685" s="338" t="str">
        <f t="shared" si="21"/>
        <v>C234</v>
      </c>
      <c r="E685" s="338" t="s">
        <v>6885</v>
      </c>
      <c r="G685" s="338">
        <v>0</v>
      </c>
      <c r="H685" s="204" t="s">
        <v>77</v>
      </c>
      <c r="I685" s="204" t="s">
        <v>7363</v>
      </c>
    </row>
    <row r="686" spans="1:9" x14ac:dyDescent="0.25">
      <c r="A686" s="204" t="s">
        <v>753</v>
      </c>
      <c r="B686" s="9" t="str">
        <f t="shared" si="20"/>
        <v>13140200</v>
      </c>
      <c r="C686" s="9" t="str">
        <f>VLOOKUP(B686,COA!A:B,2,FALSE)</f>
        <v>PNC AWCC-Payroll</v>
      </c>
      <c r="D686" s="338" t="str">
        <f t="shared" si="21"/>
        <v>C234</v>
      </c>
      <c r="E686" s="338" t="s">
        <v>6885</v>
      </c>
      <c r="G686" s="338">
        <v>0</v>
      </c>
      <c r="H686" s="204" t="s">
        <v>77</v>
      </c>
      <c r="I686" s="204" t="s">
        <v>7363</v>
      </c>
    </row>
    <row r="687" spans="1:9" x14ac:dyDescent="0.25">
      <c r="A687" s="204" t="s">
        <v>754</v>
      </c>
      <c r="B687" s="9" t="str">
        <f t="shared" si="20"/>
        <v>13140202</v>
      </c>
      <c r="C687" s="9" t="str">
        <f>VLOOKUP(B687,COA!A:B,2,FALSE)</f>
        <v>PNC AWCC-Payroll - Outbound ACH</v>
      </c>
      <c r="D687" s="338" t="str">
        <f t="shared" si="21"/>
        <v>C234</v>
      </c>
      <c r="E687" s="338" t="s">
        <v>6885</v>
      </c>
      <c r="G687" s="338">
        <v>0</v>
      </c>
      <c r="H687" s="204" t="s">
        <v>77</v>
      </c>
      <c r="I687" s="204" t="s">
        <v>7363</v>
      </c>
    </row>
    <row r="688" spans="1:9" x14ac:dyDescent="0.25">
      <c r="A688" s="204" t="s">
        <v>755</v>
      </c>
      <c r="B688" s="9" t="str">
        <f t="shared" si="20"/>
        <v>13140203</v>
      </c>
      <c r="C688" s="9" t="str">
        <f>VLOOKUP(B688,COA!A:B,2,FALSE)</f>
        <v>PNC AWCC-Payroll - Outbound Check</v>
      </c>
      <c r="D688" s="338" t="str">
        <f t="shared" si="21"/>
        <v>C234</v>
      </c>
      <c r="E688" s="338" t="s">
        <v>6885</v>
      </c>
      <c r="G688" s="338">
        <v>0</v>
      </c>
      <c r="H688" s="204" t="s">
        <v>77</v>
      </c>
      <c r="I688" s="204" t="s">
        <v>7363</v>
      </c>
    </row>
    <row r="689" spans="1:9" x14ac:dyDescent="0.25">
      <c r="A689" s="204" t="s">
        <v>756</v>
      </c>
      <c r="B689" s="9" t="str">
        <f t="shared" si="20"/>
        <v>13140204</v>
      </c>
      <c r="C689" s="9" t="str">
        <f>VLOOKUP(B689,COA!A:B,2,FALSE)</f>
        <v>PNC AWCC-Payroll - Inbound Wires &amp; ACH</v>
      </c>
      <c r="D689" s="338" t="str">
        <f t="shared" si="21"/>
        <v>C234</v>
      </c>
      <c r="E689" s="338" t="s">
        <v>6885</v>
      </c>
      <c r="G689" s="338">
        <v>0</v>
      </c>
      <c r="H689" s="204" t="s">
        <v>77</v>
      </c>
      <c r="I689" s="204" t="s">
        <v>7363</v>
      </c>
    </row>
    <row r="690" spans="1:9" x14ac:dyDescent="0.25">
      <c r="A690" s="204" t="s">
        <v>757</v>
      </c>
      <c r="B690" s="9" t="str">
        <f t="shared" si="20"/>
        <v>13140205</v>
      </c>
      <c r="C690" s="9" t="str">
        <f>VLOOKUP(B690,COA!A:B,2,FALSE)</f>
        <v>PNC AWCC-Payroll - ZBA Activity</v>
      </c>
      <c r="D690" s="338" t="str">
        <f t="shared" si="21"/>
        <v>C234</v>
      </c>
      <c r="E690" s="338" t="s">
        <v>6885</v>
      </c>
      <c r="G690" s="338">
        <v>0</v>
      </c>
      <c r="H690" s="204" t="s">
        <v>77</v>
      </c>
      <c r="I690" s="204" t="s">
        <v>7363</v>
      </c>
    </row>
    <row r="691" spans="1:9" x14ac:dyDescent="0.25">
      <c r="A691" s="204" t="s">
        <v>758</v>
      </c>
      <c r="B691" s="9" t="str">
        <f t="shared" si="20"/>
        <v>13140217</v>
      </c>
      <c r="C691" s="9" t="str">
        <f>VLOOKUP(B691,COA!A:B,2,FALSE)</f>
        <v>PNC AWCC-Payroll - Misc Debits/Credits</v>
      </c>
      <c r="D691" s="338" t="str">
        <f t="shared" si="21"/>
        <v>C234</v>
      </c>
      <c r="E691" s="338" t="s">
        <v>6885</v>
      </c>
      <c r="G691" s="338">
        <v>0</v>
      </c>
      <c r="H691" s="204" t="s">
        <v>77</v>
      </c>
      <c r="I691" s="204" t="s">
        <v>7363</v>
      </c>
    </row>
    <row r="692" spans="1:9" x14ac:dyDescent="0.25">
      <c r="A692" s="204" t="s">
        <v>759</v>
      </c>
      <c r="B692" s="9" t="str">
        <f t="shared" si="20"/>
        <v>13140300</v>
      </c>
      <c r="C692" s="9" t="str">
        <f>VLOOKUP(B692,COA!A:B,2,FALSE)</f>
        <v>PNC AWCC-Customer Refund</v>
      </c>
      <c r="D692" s="338" t="str">
        <f t="shared" si="21"/>
        <v>C234</v>
      </c>
      <c r="E692" s="338" t="s">
        <v>6885</v>
      </c>
      <c r="G692" s="338">
        <v>0</v>
      </c>
      <c r="H692" s="204" t="s">
        <v>77</v>
      </c>
      <c r="I692" s="204" t="s">
        <v>7363</v>
      </c>
    </row>
    <row r="693" spans="1:9" x14ac:dyDescent="0.25">
      <c r="A693" s="204" t="s">
        <v>760</v>
      </c>
      <c r="B693" s="9" t="str">
        <f t="shared" si="20"/>
        <v>13140303</v>
      </c>
      <c r="C693" s="9" t="str">
        <f>VLOOKUP(B693,COA!A:B,2,FALSE)</f>
        <v>PNC AWCC-Customer Refund - Outbound Check</v>
      </c>
      <c r="D693" s="338" t="str">
        <f t="shared" si="21"/>
        <v>C234</v>
      </c>
      <c r="E693" s="338" t="s">
        <v>6885</v>
      </c>
      <c r="G693" s="338">
        <v>0</v>
      </c>
      <c r="H693" s="204" t="s">
        <v>77</v>
      </c>
      <c r="I693" s="204" t="s">
        <v>7363</v>
      </c>
    </row>
    <row r="694" spans="1:9" x14ac:dyDescent="0.25">
      <c r="A694" s="204" t="s">
        <v>761</v>
      </c>
      <c r="B694" s="9" t="str">
        <f t="shared" si="20"/>
        <v>13140304</v>
      </c>
      <c r="C694" s="9" t="str">
        <f>VLOOKUP(B694,COA!A:B,2,FALSE)</f>
        <v>PNC AWCC-Customer Refund - Inbound Wires &amp; ACH</v>
      </c>
      <c r="D694" s="338" t="str">
        <f t="shared" si="21"/>
        <v>C234</v>
      </c>
      <c r="E694" s="338" t="s">
        <v>6885</v>
      </c>
      <c r="G694" s="338">
        <v>0</v>
      </c>
      <c r="H694" s="204" t="s">
        <v>77</v>
      </c>
      <c r="I694" s="204" t="s">
        <v>7363</v>
      </c>
    </row>
    <row r="695" spans="1:9" x14ac:dyDescent="0.25">
      <c r="A695" s="204" t="s">
        <v>762</v>
      </c>
      <c r="B695" s="9" t="str">
        <f t="shared" si="20"/>
        <v>13140305</v>
      </c>
      <c r="C695" s="9" t="str">
        <f>VLOOKUP(B695,COA!A:B,2,FALSE)</f>
        <v>PNC AWCC-Customer Refund - ZBA Activity</v>
      </c>
      <c r="D695" s="338" t="str">
        <f t="shared" si="21"/>
        <v>C234</v>
      </c>
      <c r="E695" s="338" t="s">
        <v>6885</v>
      </c>
      <c r="G695" s="338">
        <v>0</v>
      </c>
      <c r="H695" s="204" t="s">
        <v>77</v>
      </c>
      <c r="I695" s="204" t="s">
        <v>7363</v>
      </c>
    </row>
    <row r="696" spans="1:9" x14ac:dyDescent="0.25">
      <c r="A696" s="204" t="s">
        <v>763</v>
      </c>
      <c r="B696" s="9" t="str">
        <f t="shared" si="20"/>
        <v>13140317</v>
      </c>
      <c r="C696" s="9" t="str">
        <f>VLOOKUP(B696,COA!A:B,2,FALSE)</f>
        <v>PNC AWCC-Customer Refund - Misc Debits/Credits</v>
      </c>
      <c r="D696" s="338" t="str">
        <f t="shared" si="21"/>
        <v>C234</v>
      </c>
      <c r="E696" s="338" t="s">
        <v>6885</v>
      </c>
      <c r="G696" s="338">
        <v>0</v>
      </c>
      <c r="H696" s="204" t="s">
        <v>77</v>
      </c>
      <c r="I696" s="204" t="s">
        <v>7363</v>
      </c>
    </row>
    <row r="697" spans="1:9" x14ac:dyDescent="0.25">
      <c r="A697" s="204" t="s">
        <v>764</v>
      </c>
      <c r="B697" s="9" t="str">
        <f t="shared" si="20"/>
        <v>13140400</v>
      </c>
      <c r="C697" s="9" t="str">
        <f>VLOOKUP(B697,COA!A:B,2,FALSE)</f>
        <v>PNC AWCC-Commercial Paper</v>
      </c>
      <c r="D697" s="338" t="str">
        <f t="shared" si="21"/>
        <v>C234</v>
      </c>
      <c r="E697" s="338" t="s">
        <v>6885</v>
      </c>
      <c r="G697" s="338">
        <v>0</v>
      </c>
      <c r="H697" s="204" t="s">
        <v>77</v>
      </c>
      <c r="I697" s="204" t="s">
        <v>7363</v>
      </c>
    </row>
    <row r="698" spans="1:9" x14ac:dyDescent="0.25">
      <c r="A698" s="204" t="s">
        <v>765</v>
      </c>
      <c r="B698" s="9" t="str">
        <f t="shared" si="20"/>
        <v>13140401</v>
      </c>
      <c r="C698" s="9" t="str">
        <f>VLOOKUP(B698,COA!A:B,2,FALSE)</f>
        <v>PNC AWCC-Commercial Paper - Outbound Wire</v>
      </c>
      <c r="D698" s="338" t="str">
        <f t="shared" si="21"/>
        <v>C234</v>
      </c>
      <c r="E698" s="338" t="s">
        <v>6885</v>
      </c>
      <c r="G698" s="338">
        <v>0</v>
      </c>
      <c r="H698" s="204" t="s">
        <v>77</v>
      </c>
      <c r="I698" s="204" t="s">
        <v>7363</v>
      </c>
    </row>
    <row r="699" spans="1:9" x14ac:dyDescent="0.25">
      <c r="A699" s="204" t="s">
        <v>766</v>
      </c>
      <c r="B699" s="9" t="str">
        <f t="shared" si="20"/>
        <v>13140402</v>
      </c>
      <c r="C699" s="9" t="str">
        <f>VLOOKUP(B699,COA!A:B,2,FALSE)</f>
        <v>PNC AWCC-Commercial Paper - Outbound ACH</v>
      </c>
      <c r="D699" s="338" t="str">
        <f t="shared" si="21"/>
        <v>C234</v>
      </c>
      <c r="E699" s="338" t="s">
        <v>6885</v>
      </c>
      <c r="G699" s="338">
        <v>0</v>
      </c>
      <c r="H699" s="204" t="s">
        <v>77</v>
      </c>
      <c r="I699" s="204" t="s">
        <v>7363</v>
      </c>
    </row>
    <row r="700" spans="1:9" x14ac:dyDescent="0.25">
      <c r="A700" s="204" t="s">
        <v>767</v>
      </c>
      <c r="B700" s="9" t="str">
        <f t="shared" si="20"/>
        <v>13140404</v>
      </c>
      <c r="C700" s="9" t="str">
        <f>VLOOKUP(B700,COA!A:B,2,FALSE)</f>
        <v>PNC AWCC-Commercial Paper - Inbound Wires &amp; ACH</v>
      </c>
      <c r="D700" s="338" t="str">
        <f t="shared" si="21"/>
        <v>C234</v>
      </c>
      <c r="E700" s="338" t="s">
        <v>6885</v>
      </c>
      <c r="G700" s="338">
        <v>0</v>
      </c>
      <c r="H700" s="204" t="s">
        <v>77</v>
      </c>
      <c r="I700" s="204" t="s">
        <v>7363</v>
      </c>
    </row>
    <row r="701" spans="1:9" x14ac:dyDescent="0.25">
      <c r="A701" s="204" t="s">
        <v>768</v>
      </c>
      <c r="B701" s="9" t="str">
        <f t="shared" si="20"/>
        <v>13140417</v>
      </c>
      <c r="C701" s="9" t="str">
        <f>VLOOKUP(B701,COA!A:B,2,FALSE)</f>
        <v>PNC AWCC-Commercial Paper - Misc Debits/Credits</v>
      </c>
      <c r="D701" s="338" t="str">
        <f t="shared" si="21"/>
        <v>C234</v>
      </c>
      <c r="E701" s="338" t="s">
        <v>6885</v>
      </c>
      <c r="G701" s="338">
        <v>0</v>
      </c>
      <c r="H701" s="204" t="s">
        <v>77</v>
      </c>
      <c r="I701" s="204" t="s">
        <v>7363</v>
      </c>
    </row>
    <row r="702" spans="1:9" x14ac:dyDescent="0.25">
      <c r="A702" s="204" t="s">
        <v>769</v>
      </c>
      <c r="B702" s="9" t="str">
        <f t="shared" si="20"/>
        <v>13140500</v>
      </c>
      <c r="C702" s="9" t="str">
        <f>VLOOKUP(B702,COA!A:B,2,FALSE)</f>
        <v>PNC AWCC- Credit Line</v>
      </c>
      <c r="D702" s="338" t="str">
        <f t="shared" si="21"/>
        <v>C234</v>
      </c>
      <c r="E702" s="338" t="s">
        <v>6885</v>
      </c>
      <c r="G702" s="338">
        <v>0</v>
      </c>
      <c r="H702" s="204" t="s">
        <v>77</v>
      </c>
      <c r="I702" s="204" t="s">
        <v>7363</v>
      </c>
    </row>
    <row r="703" spans="1:9" x14ac:dyDescent="0.25">
      <c r="A703" s="204" t="s">
        <v>770</v>
      </c>
      <c r="B703" s="9" t="str">
        <f t="shared" si="20"/>
        <v>13140501</v>
      </c>
      <c r="C703" s="9" t="str">
        <f>VLOOKUP(B703,COA!A:B,2,FALSE)</f>
        <v>PNC AWCC- Credit Line - Outbound Wire</v>
      </c>
      <c r="D703" s="338" t="str">
        <f t="shared" si="21"/>
        <v>C234</v>
      </c>
      <c r="E703" s="338" t="s">
        <v>6885</v>
      </c>
      <c r="G703" s="338">
        <v>0</v>
      </c>
      <c r="H703" s="204" t="s">
        <v>77</v>
      </c>
      <c r="I703" s="204" t="s">
        <v>7363</v>
      </c>
    </row>
    <row r="704" spans="1:9" x14ac:dyDescent="0.25">
      <c r="A704" s="204" t="s">
        <v>771</v>
      </c>
      <c r="B704" s="9" t="str">
        <f t="shared" si="20"/>
        <v>13140502</v>
      </c>
      <c r="C704" s="9" t="str">
        <f>VLOOKUP(B704,COA!A:B,2,FALSE)</f>
        <v>PNC AWCC- Credit Line - Outbound ACH</v>
      </c>
      <c r="D704" s="338" t="str">
        <f t="shared" si="21"/>
        <v>C234</v>
      </c>
      <c r="E704" s="338" t="s">
        <v>6885</v>
      </c>
      <c r="G704" s="338">
        <v>0</v>
      </c>
      <c r="H704" s="204" t="s">
        <v>77</v>
      </c>
      <c r="I704" s="204" t="s">
        <v>7363</v>
      </c>
    </row>
    <row r="705" spans="1:9" x14ac:dyDescent="0.25">
      <c r="A705" s="204" t="s">
        <v>772</v>
      </c>
      <c r="B705" s="9" t="str">
        <f t="shared" si="20"/>
        <v>13140504</v>
      </c>
      <c r="C705" s="9" t="str">
        <f>VLOOKUP(B705,COA!A:B,2,FALSE)</f>
        <v>PNC AWCC- Credit Line - Inbound Wires &amp; ACH</v>
      </c>
      <c r="D705" s="338" t="str">
        <f t="shared" si="21"/>
        <v>C234</v>
      </c>
      <c r="E705" s="338" t="s">
        <v>6885</v>
      </c>
      <c r="G705" s="338">
        <v>0</v>
      </c>
      <c r="H705" s="204" t="s">
        <v>77</v>
      </c>
      <c r="I705" s="204" t="s">
        <v>7363</v>
      </c>
    </row>
    <row r="706" spans="1:9" x14ac:dyDescent="0.25">
      <c r="A706" s="204" t="s">
        <v>773</v>
      </c>
      <c r="B706" s="9" t="str">
        <f t="shared" si="20"/>
        <v>13140517</v>
      </c>
      <c r="C706" s="9" t="str">
        <f>VLOOKUP(B706,COA!A:B,2,FALSE)</f>
        <v>PNC AWCC- Credit Line - Misc Debits/Credits</v>
      </c>
      <c r="D706" s="338" t="str">
        <f t="shared" si="21"/>
        <v>C234</v>
      </c>
      <c r="E706" s="338" t="s">
        <v>6885</v>
      </c>
      <c r="G706" s="338">
        <v>0</v>
      </c>
      <c r="H706" s="204" t="s">
        <v>77</v>
      </c>
      <c r="I706" s="204" t="s">
        <v>7363</v>
      </c>
    </row>
    <row r="707" spans="1:9" x14ac:dyDescent="0.25">
      <c r="A707" s="204" t="s">
        <v>774</v>
      </c>
      <c r="B707" s="9" t="str">
        <f t="shared" si="20"/>
        <v>13140600</v>
      </c>
      <c r="C707" s="9" t="str">
        <f>VLOOKUP(B707,COA!A:B,2,FALSE)</f>
        <v>PNC AWCC-Misc Items Lockbox</v>
      </c>
      <c r="D707" s="338" t="str">
        <f t="shared" si="21"/>
        <v>C234</v>
      </c>
      <c r="E707" s="338" t="s">
        <v>6885</v>
      </c>
      <c r="G707" s="338">
        <v>0</v>
      </c>
      <c r="H707" s="204" t="s">
        <v>77</v>
      </c>
      <c r="I707" s="204" t="s">
        <v>7363</v>
      </c>
    </row>
    <row r="708" spans="1:9" x14ac:dyDescent="0.25">
      <c r="A708" s="204" t="s">
        <v>775</v>
      </c>
      <c r="B708" s="9" t="str">
        <f t="shared" si="20"/>
        <v>13140601</v>
      </c>
      <c r="C708" s="9" t="str">
        <f>VLOOKUP(B708,COA!A:B,2,FALSE)</f>
        <v>PNC AWCC-Misc Items Lockbox - Outbound Wire</v>
      </c>
      <c r="D708" s="338" t="str">
        <f t="shared" si="21"/>
        <v>C234</v>
      </c>
      <c r="E708" s="338" t="s">
        <v>6885</v>
      </c>
      <c r="G708" s="338">
        <v>0</v>
      </c>
      <c r="H708" s="204" t="s">
        <v>77</v>
      </c>
      <c r="I708" s="204" t="s">
        <v>7363</v>
      </c>
    </row>
    <row r="709" spans="1:9" x14ac:dyDescent="0.25">
      <c r="A709" s="204" t="s">
        <v>776</v>
      </c>
      <c r="B709" s="9" t="str">
        <f t="shared" si="20"/>
        <v>13140602</v>
      </c>
      <c r="C709" s="9" t="str">
        <f>VLOOKUP(B709,COA!A:B,2,FALSE)</f>
        <v>PNC AWCC-Misc Items Lockbox - Outbound ACH</v>
      </c>
      <c r="D709" s="338" t="str">
        <f t="shared" si="21"/>
        <v>C234</v>
      </c>
      <c r="E709" s="338" t="s">
        <v>6885</v>
      </c>
      <c r="G709" s="338">
        <v>0</v>
      </c>
      <c r="H709" s="204" t="s">
        <v>77</v>
      </c>
      <c r="I709" s="204" t="s">
        <v>7363</v>
      </c>
    </row>
    <row r="710" spans="1:9" x14ac:dyDescent="0.25">
      <c r="A710" s="204" t="s">
        <v>777</v>
      </c>
      <c r="B710" s="9" t="str">
        <f t="shared" si="20"/>
        <v>13140604</v>
      </c>
      <c r="C710" s="9" t="str">
        <f>VLOOKUP(B710,COA!A:B,2,FALSE)</f>
        <v>PNC AWCC-Misc Items Lockbox - Inbound Wires &amp; ACH</v>
      </c>
      <c r="D710" s="338" t="str">
        <f t="shared" si="21"/>
        <v>C234</v>
      </c>
      <c r="E710" s="338" t="s">
        <v>6885</v>
      </c>
      <c r="G710" s="338">
        <v>0</v>
      </c>
      <c r="H710" s="204" t="s">
        <v>77</v>
      </c>
      <c r="I710" s="204" t="s">
        <v>7363</v>
      </c>
    </row>
    <row r="711" spans="1:9" x14ac:dyDescent="0.25">
      <c r="A711" s="204" t="s">
        <v>778</v>
      </c>
      <c r="B711" s="9" t="str">
        <f t="shared" si="20"/>
        <v>13140617</v>
      </c>
      <c r="C711" s="9" t="str">
        <f>VLOOKUP(B711,COA!A:B,2,FALSE)</f>
        <v>PNC AWCC-Misc Items Lockbox - Misc Debits/Credits</v>
      </c>
      <c r="D711" s="338" t="str">
        <f t="shared" si="21"/>
        <v>C234</v>
      </c>
      <c r="E711" s="338" t="s">
        <v>6885</v>
      </c>
      <c r="G711" s="338">
        <v>0</v>
      </c>
      <c r="H711" s="204" t="s">
        <v>77</v>
      </c>
      <c r="I711" s="204" t="s">
        <v>7363</v>
      </c>
    </row>
    <row r="712" spans="1:9" x14ac:dyDescent="0.25">
      <c r="A712" s="204" t="s">
        <v>779</v>
      </c>
      <c r="B712" s="9" t="str">
        <f t="shared" si="20"/>
        <v>13140700</v>
      </c>
      <c r="C712" s="9" t="str">
        <f>VLOOKUP(B712,COA!A:B,2,FALSE)</f>
        <v>PNC AWCC-AP Vendor Payment</v>
      </c>
      <c r="D712" s="338" t="str">
        <f t="shared" si="21"/>
        <v>C234</v>
      </c>
      <c r="E712" s="338" t="s">
        <v>6885</v>
      </c>
      <c r="G712" s="338">
        <v>0</v>
      </c>
      <c r="H712" s="204" t="s">
        <v>77</v>
      </c>
      <c r="I712" s="204" t="s">
        <v>7363</v>
      </c>
    </row>
    <row r="713" spans="1:9" x14ac:dyDescent="0.25">
      <c r="A713" s="204" t="s">
        <v>780</v>
      </c>
      <c r="B713" s="9" t="str">
        <f t="shared" ref="B713:B775" si="22">RIGHT(A713,8)</f>
        <v>13140701</v>
      </c>
      <c r="C713" s="9" t="str">
        <f>VLOOKUP(B713,COA!A:B,2,FALSE)</f>
        <v>PNC AWCC-AP Vendor Payment - Outbound Wire</v>
      </c>
      <c r="D713" s="338" t="str">
        <f t="shared" si="21"/>
        <v>C234</v>
      </c>
      <c r="E713" s="338" t="s">
        <v>6885</v>
      </c>
      <c r="G713" s="338">
        <v>0</v>
      </c>
      <c r="H713" s="204" t="s">
        <v>77</v>
      </c>
      <c r="I713" s="204" t="s">
        <v>7363</v>
      </c>
    </row>
    <row r="714" spans="1:9" x14ac:dyDescent="0.25">
      <c r="A714" s="204" t="s">
        <v>781</v>
      </c>
      <c r="B714" s="9" t="str">
        <f t="shared" si="22"/>
        <v>13140702</v>
      </c>
      <c r="C714" s="9" t="str">
        <f>VLOOKUP(B714,COA!A:B,2,FALSE)</f>
        <v>PNC AWCC-AP Vendor Payment - Oubound ACH</v>
      </c>
      <c r="D714" s="338" t="str">
        <f t="shared" si="21"/>
        <v>C1312</v>
      </c>
      <c r="E714" s="338" t="s">
        <v>6885</v>
      </c>
      <c r="G714" s="338">
        <v>0</v>
      </c>
      <c r="H714" s="204" t="s">
        <v>77</v>
      </c>
      <c r="I714" s="204" t="s">
        <v>7362</v>
      </c>
    </row>
    <row r="715" spans="1:9" x14ac:dyDescent="0.25">
      <c r="A715" s="204" t="s">
        <v>782</v>
      </c>
      <c r="B715" s="9" t="str">
        <f t="shared" si="22"/>
        <v>13140704</v>
      </c>
      <c r="C715" s="9" t="str">
        <f>VLOOKUP(B715,COA!A:B,2,FALSE)</f>
        <v>PNC AWCC-AP Vendor Payment - Inbound Wires &amp; ACH</v>
      </c>
      <c r="D715" s="338" t="str">
        <f t="shared" ref="D715:D778" si="23">+I715</f>
        <v>C234</v>
      </c>
      <c r="E715" s="338" t="s">
        <v>6885</v>
      </c>
      <c r="G715" s="338">
        <v>0</v>
      </c>
      <c r="H715" s="204" t="s">
        <v>77</v>
      </c>
      <c r="I715" s="204" t="s">
        <v>7363</v>
      </c>
    </row>
    <row r="716" spans="1:9" x14ac:dyDescent="0.25">
      <c r="A716" s="204" t="s">
        <v>783</v>
      </c>
      <c r="B716" s="9" t="str">
        <f t="shared" si="22"/>
        <v>13140705</v>
      </c>
      <c r="C716" s="9" t="str">
        <f>VLOOKUP(B716,COA!A:B,2,FALSE)</f>
        <v>PNC AWCC-AP Vendor Payment - ZBA Activity</v>
      </c>
      <c r="D716" s="338" t="str">
        <f t="shared" si="23"/>
        <v>C234</v>
      </c>
      <c r="E716" s="338" t="s">
        <v>6885</v>
      </c>
      <c r="G716" s="338">
        <v>0</v>
      </c>
      <c r="H716" s="204" t="s">
        <v>77</v>
      </c>
      <c r="I716" s="204" t="s">
        <v>7363</v>
      </c>
    </row>
    <row r="717" spans="1:9" x14ac:dyDescent="0.25">
      <c r="A717" s="204" t="s">
        <v>7364</v>
      </c>
      <c r="B717" s="9" t="str">
        <f t="shared" si="22"/>
        <v>13161100</v>
      </c>
      <c r="C717" s="9" t="str">
        <f>VLOOKUP(B717,COA!A:B,2,FALSE)</f>
        <v>US Bank IA - Main</v>
      </c>
      <c r="D717" s="338" t="str">
        <f t="shared" si="23"/>
        <v>C1312</v>
      </c>
      <c r="E717" s="338" t="e">
        <v>#N/A</v>
      </c>
      <c r="F717" s="338" t="e">
        <v>#N/A</v>
      </c>
      <c r="G717" s="338" t="e">
        <v>#N/A</v>
      </c>
      <c r="H717" s="204" t="s">
        <v>77</v>
      </c>
      <c r="I717" s="204" t="s">
        <v>7362</v>
      </c>
    </row>
    <row r="718" spans="1:9" x14ac:dyDescent="0.25">
      <c r="A718" s="204" t="s">
        <v>7365</v>
      </c>
      <c r="B718" s="9" t="str">
        <f t="shared" si="22"/>
        <v>13161106</v>
      </c>
      <c r="C718" s="9" t="str">
        <f>VLOOKUP(B718,COA!A:B,2,FALSE)</f>
        <v>US Bank IA - Customer Direct Debit</v>
      </c>
      <c r="D718" s="338" t="str">
        <f t="shared" si="23"/>
        <v>C1312</v>
      </c>
      <c r="E718" s="338" t="e">
        <v>#N/A</v>
      </c>
      <c r="F718" s="338" t="e">
        <v>#N/A</v>
      </c>
      <c r="G718" s="338" t="e">
        <v>#N/A</v>
      </c>
      <c r="H718" s="204" t="s">
        <v>77</v>
      </c>
      <c r="I718" s="204" t="s">
        <v>7362</v>
      </c>
    </row>
    <row r="719" spans="1:9" x14ac:dyDescent="0.25">
      <c r="A719" s="204" t="s">
        <v>7366</v>
      </c>
      <c r="B719" s="9" t="str">
        <f t="shared" si="22"/>
        <v>13161107</v>
      </c>
      <c r="C719" s="9" t="str">
        <f>VLOOKUP(B719,COA!A:B,2,FALSE)</f>
        <v>US Bank IA - Customer ACH</v>
      </c>
      <c r="D719" s="338" t="str">
        <f t="shared" si="23"/>
        <v>C1312</v>
      </c>
      <c r="E719" s="338" t="e">
        <v>#N/A</v>
      </c>
      <c r="F719" s="338" t="e">
        <v>#N/A</v>
      </c>
      <c r="G719" s="338" t="e">
        <v>#N/A</v>
      </c>
      <c r="H719" s="204" t="s">
        <v>77</v>
      </c>
      <c r="I719" s="204" t="s">
        <v>7362</v>
      </c>
    </row>
    <row r="720" spans="1:9" x14ac:dyDescent="0.25">
      <c r="A720" s="204" t="s">
        <v>7367</v>
      </c>
      <c r="B720" s="9" t="str">
        <f t="shared" si="22"/>
        <v>13161108</v>
      </c>
      <c r="C720" s="9" t="str">
        <f>VLOOKUP(B720,COA!A:B,2,FALSE)</f>
        <v>US Bank IA - Customer Lockbox</v>
      </c>
      <c r="D720" s="338" t="str">
        <f t="shared" si="23"/>
        <v>C1312</v>
      </c>
      <c r="E720" s="338" t="e">
        <v>#N/A</v>
      </c>
      <c r="F720" s="338" t="e">
        <v>#N/A</v>
      </c>
      <c r="G720" s="338" t="e">
        <v>#N/A</v>
      </c>
      <c r="H720" s="204" t="s">
        <v>77</v>
      </c>
      <c r="I720" s="204" t="s">
        <v>7362</v>
      </c>
    </row>
    <row r="721" spans="1:9" x14ac:dyDescent="0.25">
      <c r="A721" s="204" t="s">
        <v>7368</v>
      </c>
      <c r="B721" s="9" t="str">
        <f t="shared" si="22"/>
        <v>13161109</v>
      </c>
      <c r="C721" s="9" t="str">
        <f>VLOOKUP(B721,COA!A:B,2,FALSE)</f>
        <v>US Bank IA - Credit Card and E-Checks</v>
      </c>
      <c r="D721" s="338" t="str">
        <f t="shared" si="23"/>
        <v>C1312</v>
      </c>
      <c r="E721" s="338" t="e">
        <v>#N/A</v>
      </c>
      <c r="F721" s="338" t="e">
        <v>#N/A</v>
      </c>
      <c r="G721" s="338" t="e">
        <v>#N/A</v>
      </c>
      <c r="H721" s="204" t="s">
        <v>77</v>
      </c>
      <c r="I721" s="204" t="s">
        <v>7362</v>
      </c>
    </row>
    <row r="722" spans="1:9" x14ac:dyDescent="0.25">
      <c r="A722" s="204" t="s">
        <v>7369</v>
      </c>
      <c r="B722" s="9" t="str">
        <f t="shared" si="22"/>
        <v>13161110</v>
      </c>
      <c r="C722" s="9" t="str">
        <f>VLOOKUP(B722,COA!A:B,2,FALSE)</f>
        <v>US Bank IA - Firstech Collections</v>
      </c>
      <c r="D722" s="338" t="str">
        <f t="shared" si="23"/>
        <v>C1312</v>
      </c>
      <c r="E722" s="338" t="e">
        <v>#N/A</v>
      </c>
      <c r="F722" s="338" t="e">
        <v>#N/A</v>
      </c>
      <c r="G722" s="338" t="e">
        <v>#N/A</v>
      </c>
      <c r="H722" s="204" t="s">
        <v>77</v>
      </c>
      <c r="I722" s="204" t="s">
        <v>7362</v>
      </c>
    </row>
    <row r="723" spans="1:9" x14ac:dyDescent="0.25">
      <c r="A723" s="204" t="s">
        <v>7370</v>
      </c>
      <c r="B723" s="9" t="str">
        <f t="shared" si="22"/>
        <v>13161111</v>
      </c>
      <c r="C723" s="9" t="str">
        <f>VLOOKUP(B723,COA!A:B,2,FALSE)</f>
        <v>US Bank IA - FiServ (aka CheckFree)</v>
      </c>
      <c r="D723" s="338" t="str">
        <f t="shared" si="23"/>
        <v>C1312</v>
      </c>
      <c r="E723" s="338" t="e">
        <v>#N/A</v>
      </c>
      <c r="F723" s="338" t="e">
        <v>#N/A</v>
      </c>
      <c r="G723" s="338" t="e">
        <v>#N/A</v>
      </c>
      <c r="H723" s="204" t="s">
        <v>77</v>
      </c>
      <c r="I723" s="204" t="s">
        <v>7362</v>
      </c>
    </row>
    <row r="724" spans="1:9" x14ac:dyDescent="0.25">
      <c r="A724" s="204" t="s">
        <v>7371</v>
      </c>
      <c r="B724" s="9" t="str">
        <f t="shared" si="22"/>
        <v>13161112</v>
      </c>
      <c r="C724" s="9" t="str">
        <f>VLOOKUP(B724,COA!A:B,2,FALSE)</f>
        <v>US Bank IA - Penn Credit</v>
      </c>
      <c r="D724" s="338" t="str">
        <f t="shared" si="23"/>
        <v>C1312</v>
      </c>
      <c r="E724" s="338" t="e">
        <v>#N/A</v>
      </c>
      <c r="F724" s="338" t="e">
        <v>#N/A</v>
      </c>
      <c r="G724" s="338" t="e">
        <v>#N/A</v>
      </c>
      <c r="H724" s="204" t="s">
        <v>77</v>
      </c>
      <c r="I724" s="204" t="s">
        <v>7362</v>
      </c>
    </row>
    <row r="725" spans="1:9" x14ac:dyDescent="0.25">
      <c r="A725" s="204" t="s">
        <v>7372</v>
      </c>
      <c r="B725" s="9" t="str">
        <f t="shared" si="22"/>
        <v>13161113</v>
      </c>
      <c r="C725" s="9" t="str">
        <f>VLOOKUP(B725,COA!A:B,2,FALSE)</f>
        <v>US Bank IA - E-Return - US Bank</v>
      </c>
      <c r="D725" s="338" t="str">
        <f t="shared" si="23"/>
        <v>C1312</v>
      </c>
      <c r="E725" s="338" t="e">
        <v>#N/A</v>
      </c>
      <c r="F725" s="338" t="e">
        <v>#N/A</v>
      </c>
      <c r="G725" s="338" t="e">
        <v>#N/A</v>
      </c>
      <c r="H725" s="204" t="s">
        <v>77</v>
      </c>
      <c r="I725" s="204" t="s">
        <v>7362</v>
      </c>
    </row>
    <row r="726" spans="1:9" x14ac:dyDescent="0.25">
      <c r="A726" s="204" t="s">
        <v>7373</v>
      </c>
      <c r="B726" s="9" t="str">
        <f t="shared" si="22"/>
        <v>13161114</v>
      </c>
      <c r="C726" s="9" t="str">
        <f>VLOOKUP(B726,COA!A:B,2,FALSE)</f>
        <v>US Bank IA -Credit Card &amp; Echeck E-Returns</v>
      </c>
      <c r="D726" s="338" t="str">
        <f t="shared" si="23"/>
        <v>C1312</v>
      </c>
      <c r="E726" s="338" t="e">
        <v>#N/A</v>
      </c>
      <c r="F726" s="338" t="e">
        <v>#N/A</v>
      </c>
      <c r="G726" s="338" t="e">
        <v>#N/A</v>
      </c>
      <c r="H726" s="204" t="s">
        <v>77</v>
      </c>
      <c r="I726" s="204" t="s">
        <v>7362</v>
      </c>
    </row>
    <row r="727" spans="1:9" x14ac:dyDescent="0.25">
      <c r="A727" s="204" t="s">
        <v>7374</v>
      </c>
      <c r="B727" s="9" t="str">
        <f t="shared" si="22"/>
        <v>13161115</v>
      </c>
      <c r="C727" s="9" t="str">
        <f>VLOOKUP(B727,COA!A:B,2,FALSE)</f>
        <v>US Bank IA - Customer A/R Ck Conversion</v>
      </c>
      <c r="D727" s="338" t="str">
        <f t="shared" si="23"/>
        <v>C1312</v>
      </c>
      <c r="E727" s="338" t="e">
        <v>#N/A</v>
      </c>
      <c r="F727" s="338" t="e">
        <v>#N/A</v>
      </c>
      <c r="G727" s="338" t="e">
        <v>#N/A</v>
      </c>
      <c r="H727" s="204" t="s">
        <v>77</v>
      </c>
      <c r="I727" s="204" t="s">
        <v>7362</v>
      </c>
    </row>
    <row r="728" spans="1:9" x14ac:dyDescent="0.25">
      <c r="A728" s="204" t="s">
        <v>7375</v>
      </c>
      <c r="B728" s="9" t="str">
        <f t="shared" si="22"/>
        <v>13161116</v>
      </c>
      <c r="C728" s="9" t="str">
        <f>VLOOKUP(B728,COA!A:B,2,FALSE)</f>
        <v>US Bank IA - NSF Return Payments</v>
      </c>
      <c r="D728" s="338" t="str">
        <f t="shared" si="23"/>
        <v>C1312</v>
      </c>
      <c r="E728" s="338" t="e">
        <v>#N/A</v>
      </c>
      <c r="F728" s="338" t="e">
        <v>#N/A</v>
      </c>
      <c r="G728" s="338" t="e">
        <v>#N/A</v>
      </c>
      <c r="H728" s="204" t="s">
        <v>77</v>
      </c>
      <c r="I728" s="204" t="s">
        <v>7362</v>
      </c>
    </row>
    <row r="729" spans="1:9" x14ac:dyDescent="0.25">
      <c r="A729" s="204" t="s">
        <v>7376</v>
      </c>
      <c r="B729" s="9" t="str">
        <f t="shared" si="22"/>
        <v>13161117</v>
      </c>
      <c r="C729" s="9" t="str">
        <f>VLOOKUP(B729,COA!A:B,2,FALSE)</f>
        <v>US Bank IA - Misc Debits/Credits</v>
      </c>
      <c r="D729" s="338" t="str">
        <f t="shared" si="23"/>
        <v>C1312</v>
      </c>
      <c r="E729" s="338" t="e">
        <v>#N/A</v>
      </c>
      <c r="F729" s="338" t="e">
        <v>#N/A</v>
      </c>
      <c r="G729" s="338" t="e">
        <v>#N/A</v>
      </c>
      <c r="H729" s="204" t="s">
        <v>77</v>
      </c>
      <c r="I729" s="204" t="s">
        <v>7362</v>
      </c>
    </row>
    <row r="730" spans="1:9" x14ac:dyDescent="0.25">
      <c r="A730" s="204" t="s">
        <v>7377</v>
      </c>
      <c r="B730" s="9" t="str">
        <f t="shared" si="22"/>
        <v>13161118</v>
      </c>
      <c r="C730" s="9" t="str">
        <f>VLOOKUP(B730,COA!A:B,2,FALSE)</f>
        <v>US Bank IA - Client Services-3rd Party Collections</v>
      </c>
      <c r="D730" s="338" t="str">
        <f t="shared" si="23"/>
        <v>C1312</v>
      </c>
      <c r="E730" s="338" t="e">
        <v>#N/A</v>
      </c>
      <c r="F730" s="338" t="e">
        <v>#N/A</v>
      </c>
      <c r="G730" s="338" t="e">
        <v>#N/A</v>
      </c>
      <c r="H730" s="204" t="s">
        <v>77</v>
      </c>
      <c r="I730" s="204" t="s">
        <v>7362</v>
      </c>
    </row>
    <row r="731" spans="1:9" x14ac:dyDescent="0.25">
      <c r="A731" s="204" t="s">
        <v>784</v>
      </c>
      <c r="B731" s="9" t="str">
        <f t="shared" si="22"/>
        <v>13164600</v>
      </c>
      <c r="C731" s="9" t="str">
        <f>VLOOKUP(B731,COA!A:B,2,FALSE)</f>
        <v>USBANK Concentration Account</v>
      </c>
      <c r="D731" s="338" t="str">
        <f t="shared" si="23"/>
        <v>C1312</v>
      </c>
      <c r="E731" s="338" t="s">
        <v>6885</v>
      </c>
      <c r="G731" s="338">
        <v>0</v>
      </c>
      <c r="H731" s="204" t="s">
        <v>77</v>
      </c>
      <c r="I731" s="204" t="s">
        <v>7362</v>
      </c>
    </row>
    <row r="732" spans="1:9" x14ac:dyDescent="0.25">
      <c r="A732" s="204" t="s">
        <v>785</v>
      </c>
      <c r="B732" s="9" t="str">
        <f t="shared" si="22"/>
        <v>13164699</v>
      </c>
      <c r="C732" s="9" t="str">
        <f>VLOOKUP(B732,COA!A:B,2,FALSE)</f>
        <v>USBANK Concentration Clearing Account</v>
      </c>
      <c r="D732" s="338" t="str">
        <f t="shared" si="23"/>
        <v>C1312</v>
      </c>
      <c r="E732" s="338" t="s">
        <v>6885</v>
      </c>
      <c r="G732" s="338">
        <v>0</v>
      </c>
      <c r="H732" s="204" t="s">
        <v>77</v>
      </c>
      <c r="I732" s="204" t="s">
        <v>7362</v>
      </c>
    </row>
    <row r="733" spans="1:9" x14ac:dyDescent="0.25">
      <c r="A733" s="204" t="s">
        <v>786</v>
      </c>
      <c r="B733" s="9" t="str">
        <f t="shared" si="22"/>
        <v>13180100</v>
      </c>
      <c r="C733" s="9" t="str">
        <f>VLOOKUP(B733,COA!A:B,2,FALSE)</f>
        <v>Suntrust TN</v>
      </c>
      <c r="D733" s="338" t="str">
        <f t="shared" si="23"/>
        <v>C1312</v>
      </c>
      <c r="E733" s="338" t="s">
        <v>6885</v>
      </c>
      <c r="G733" s="338">
        <v>0</v>
      </c>
      <c r="H733" s="204" t="s">
        <v>77</v>
      </c>
      <c r="I733" s="204" t="s">
        <v>7362</v>
      </c>
    </row>
    <row r="734" spans="1:9" x14ac:dyDescent="0.25">
      <c r="A734" s="204" t="s">
        <v>787</v>
      </c>
      <c r="B734" s="9" t="str">
        <f t="shared" si="22"/>
        <v>13180101</v>
      </c>
      <c r="C734" s="9" t="str">
        <f>VLOOKUP(B734,COA!A:B,2,FALSE)</f>
        <v>Suntrust TN - Outbound Wire</v>
      </c>
      <c r="D734" s="338" t="str">
        <f t="shared" si="23"/>
        <v>C1312</v>
      </c>
      <c r="E734" s="338" t="s">
        <v>6885</v>
      </c>
      <c r="G734" s="338">
        <v>0</v>
      </c>
      <c r="H734" s="204" t="s">
        <v>77</v>
      </c>
      <c r="I734" s="204" t="s">
        <v>7362</v>
      </c>
    </row>
    <row r="735" spans="1:9" x14ac:dyDescent="0.25">
      <c r="A735" s="204" t="s">
        <v>788</v>
      </c>
      <c r="B735" s="9" t="str">
        <f t="shared" si="22"/>
        <v>13180106</v>
      </c>
      <c r="C735" s="9" t="str">
        <f>VLOOKUP(B735,COA!A:B,2,FALSE)</f>
        <v>Suntrust TN - Customer Direct Debit</v>
      </c>
      <c r="D735" s="338" t="str">
        <f t="shared" si="23"/>
        <v>C1312</v>
      </c>
      <c r="E735" s="338" t="s">
        <v>6885</v>
      </c>
      <c r="G735" s="338">
        <v>0</v>
      </c>
      <c r="H735" s="204" t="s">
        <v>77</v>
      </c>
      <c r="I735" s="204" t="s">
        <v>7362</v>
      </c>
    </row>
    <row r="736" spans="1:9" x14ac:dyDescent="0.25">
      <c r="A736" s="204" t="s">
        <v>789</v>
      </c>
      <c r="B736" s="9" t="str">
        <f t="shared" si="22"/>
        <v>13180108</v>
      </c>
      <c r="C736" s="9" t="str">
        <f>VLOOKUP(B736,COA!A:B,2,FALSE)</f>
        <v>Suntrust TN - Customer Lockbox</v>
      </c>
      <c r="D736" s="338" t="str">
        <f t="shared" si="23"/>
        <v>C1312</v>
      </c>
      <c r="E736" s="338" t="s">
        <v>6885</v>
      </c>
      <c r="G736" s="338">
        <v>0</v>
      </c>
      <c r="H736" s="204" t="s">
        <v>77</v>
      </c>
      <c r="I736" s="204" t="s">
        <v>7362</v>
      </c>
    </row>
    <row r="737" spans="1:9" x14ac:dyDescent="0.25">
      <c r="A737" s="204" t="s">
        <v>790</v>
      </c>
      <c r="B737" s="9" t="str">
        <f t="shared" si="22"/>
        <v>13180109</v>
      </c>
      <c r="C737" s="9" t="str">
        <f>VLOOKUP(B737,COA!A:B,2,FALSE)</f>
        <v>Suntrust TN - Online Resources Credit Corp</v>
      </c>
      <c r="D737" s="338" t="str">
        <f t="shared" si="23"/>
        <v>C1312</v>
      </c>
      <c r="E737" s="338" t="s">
        <v>6885</v>
      </c>
      <c r="G737" s="338">
        <v>0</v>
      </c>
      <c r="H737" s="204" t="s">
        <v>77</v>
      </c>
      <c r="I737" s="204" t="s">
        <v>7362</v>
      </c>
    </row>
    <row r="738" spans="1:9" x14ac:dyDescent="0.25">
      <c r="A738" s="204" t="s">
        <v>791</v>
      </c>
      <c r="B738" s="9" t="str">
        <f t="shared" si="22"/>
        <v>13180111</v>
      </c>
      <c r="C738" s="9" t="str">
        <f>VLOOKUP(B738,COA!A:B,2,FALSE)</f>
        <v>Suntrust TN - FiServ (fka CheckFree)</v>
      </c>
      <c r="D738" s="338" t="str">
        <f t="shared" si="23"/>
        <v>C1312</v>
      </c>
      <c r="E738" s="338" t="s">
        <v>6885</v>
      </c>
      <c r="G738" s="338">
        <v>0</v>
      </c>
      <c r="H738" s="204" t="s">
        <v>77</v>
      </c>
      <c r="I738" s="204" t="s">
        <v>7362</v>
      </c>
    </row>
    <row r="739" spans="1:9" x14ac:dyDescent="0.25">
      <c r="A739" s="204" t="s">
        <v>792</v>
      </c>
      <c r="B739" s="9" t="str">
        <f t="shared" si="22"/>
        <v>13180112</v>
      </c>
      <c r="C739" s="9" t="str">
        <f>VLOOKUP(B739,COA!A:B,2,FALSE)</f>
        <v>Suntrust TN - Penn Credit</v>
      </c>
      <c r="D739" s="338" t="str">
        <f t="shared" si="23"/>
        <v>C1312</v>
      </c>
      <c r="E739" s="338" t="s">
        <v>6885</v>
      </c>
      <c r="G739" s="338">
        <v>0</v>
      </c>
      <c r="H739" s="204" t="s">
        <v>77</v>
      </c>
      <c r="I739" s="204" t="s">
        <v>7362</v>
      </c>
    </row>
    <row r="740" spans="1:9" x14ac:dyDescent="0.25">
      <c r="A740" s="204" t="s">
        <v>793</v>
      </c>
      <c r="B740" s="9" t="str">
        <f t="shared" si="22"/>
        <v>13180113</v>
      </c>
      <c r="C740" s="9" t="str">
        <f>VLOOKUP(B740,COA!A:B,2,FALSE)</f>
        <v>Suntrust TN - E-Return - Mellon</v>
      </c>
      <c r="D740" s="338" t="str">
        <f t="shared" si="23"/>
        <v>C1312</v>
      </c>
      <c r="E740" s="338" t="s">
        <v>6885</v>
      </c>
      <c r="G740" s="338">
        <v>0</v>
      </c>
      <c r="H740" s="204" t="s">
        <v>77</v>
      </c>
      <c r="I740" s="204" t="s">
        <v>7362</v>
      </c>
    </row>
    <row r="741" spans="1:9" x14ac:dyDescent="0.25">
      <c r="A741" s="204" t="s">
        <v>794</v>
      </c>
      <c r="B741" s="9" t="str">
        <f t="shared" si="22"/>
        <v>13180114</v>
      </c>
      <c r="C741" s="9" t="str">
        <f>VLOOKUP(B741,COA!A:B,2,FALSE)</f>
        <v>Suntrust TN - E-Return - Online Resource Ck Conv</v>
      </c>
      <c r="D741" s="338" t="str">
        <f t="shared" si="23"/>
        <v>C1312</v>
      </c>
      <c r="E741" s="338" t="s">
        <v>6885</v>
      </c>
      <c r="G741" s="338">
        <v>0</v>
      </c>
      <c r="H741" s="204" t="s">
        <v>77</v>
      </c>
      <c r="I741" s="204" t="s">
        <v>7362</v>
      </c>
    </row>
    <row r="742" spans="1:9" x14ac:dyDescent="0.25">
      <c r="A742" s="204" t="s">
        <v>795</v>
      </c>
      <c r="B742" s="9" t="str">
        <f t="shared" si="22"/>
        <v>13180115</v>
      </c>
      <c r="C742" s="9" t="str">
        <f>VLOOKUP(B742,COA!A:B,2,FALSE)</f>
        <v>Suntrust TN - Customer A/R Ck Conversion</v>
      </c>
      <c r="D742" s="338" t="str">
        <f t="shared" si="23"/>
        <v>C1312</v>
      </c>
      <c r="E742" s="338" t="s">
        <v>6885</v>
      </c>
      <c r="G742" s="338">
        <v>0</v>
      </c>
      <c r="H742" s="204" t="s">
        <v>77</v>
      </c>
      <c r="I742" s="204" t="s">
        <v>7362</v>
      </c>
    </row>
    <row r="743" spans="1:9" x14ac:dyDescent="0.25">
      <c r="A743" s="204" t="s">
        <v>796</v>
      </c>
      <c r="B743" s="9" t="str">
        <f t="shared" si="22"/>
        <v>13180116</v>
      </c>
      <c r="C743" s="9" t="str">
        <f>VLOOKUP(B743,COA!A:B,2,FALSE)</f>
        <v>Suntrust TN - NSF - Return Payments</v>
      </c>
      <c r="D743" s="338" t="str">
        <f t="shared" si="23"/>
        <v>C1312</v>
      </c>
      <c r="E743" s="338" t="s">
        <v>6885</v>
      </c>
      <c r="G743" s="338">
        <v>0</v>
      </c>
      <c r="H743" s="204" t="s">
        <v>77</v>
      </c>
      <c r="I743" s="204" t="s">
        <v>7362</v>
      </c>
    </row>
    <row r="744" spans="1:9" x14ac:dyDescent="0.25">
      <c r="A744" s="204" t="s">
        <v>797</v>
      </c>
      <c r="B744" s="9" t="str">
        <f t="shared" si="22"/>
        <v>13180117</v>
      </c>
      <c r="C744" s="9" t="str">
        <f>VLOOKUP(B744,COA!A:B,2,FALSE)</f>
        <v>Suntrust TN - Misc Debits/Credits</v>
      </c>
      <c r="D744" s="338" t="str">
        <f t="shared" si="23"/>
        <v>C1312</v>
      </c>
      <c r="E744" s="338" t="s">
        <v>6885</v>
      </c>
      <c r="G744" s="338">
        <v>0</v>
      </c>
      <c r="H744" s="204" t="s">
        <v>77</v>
      </c>
      <c r="I744" s="204" t="s">
        <v>7362</v>
      </c>
    </row>
    <row r="745" spans="1:9" x14ac:dyDescent="0.25">
      <c r="A745" s="204" t="s">
        <v>798</v>
      </c>
      <c r="B745" s="9" t="str">
        <f t="shared" si="22"/>
        <v>13180200</v>
      </c>
      <c r="C745" s="9" t="str">
        <f>VLOOKUP(B745,COA!A:B,2,FALSE)</f>
        <v>River Valley MI</v>
      </c>
      <c r="D745" s="338" t="str">
        <f t="shared" si="23"/>
        <v>C1312</v>
      </c>
      <c r="E745" s="338" t="s">
        <v>6885</v>
      </c>
      <c r="G745" s="338">
        <v>0</v>
      </c>
      <c r="H745" s="204" t="s">
        <v>77</v>
      </c>
      <c r="I745" s="204" t="s">
        <v>7362</v>
      </c>
    </row>
    <row r="746" spans="1:9" x14ac:dyDescent="0.25">
      <c r="A746" s="204" t="s">
        <v>799</v>
      </c>
      <c r="B746" s="9" t="str">
        <f t="shared" si="22"/>
        <v>13180201</v>
      </c>
      <c r="C746" s="9" t="str">
        <f>VLOOKUP(B746,COA!A:B,2,FALSE)</f>
        <v>River Valley MI - Outbound Wire</v>
      </c>
      <c r="D746" s="338" t="str">
        <f t="shared" si="23"/>
        <v>C1312</v>
      </c>
      <c r="E746" s="338" t="s">
        <v>6885</v>
      </c>
      <c r="G746" s="338">
        <v>0</v>
      </c>
      <c r="H746" s="204" t="s">
        <v>77</v>
      </c>
      <c r="I746" s="204" t="s">
        <v>7362</v>
      </c>
    </row>
    <row r="747" spans="1:9" x14ac:dyDescent="0.25">
      <c r="A747" s="204" t="s">
        <v>800</v>
      </c>
      <c r="B747" s="9" t="str">
        <f t="shared" si="22"/>
        <v>13180202</v>
      </c>
      <c r="C747" s="9" t="str">
        <f>VLOOKUP(B747,COA!A:B,2,FALSE)</f>
        <v>River Valley MI - Outbound ACH</v>
      </c>
      <c r="D747" s="338" t="str">
        <f t="shared" si="23"/>
        <v>C1312</v>
      </c>
      <c r="E747" s="338" t="s">
        <v>6885</v>
      </c>
      <c r="G747" s="338">
        <v>0</v>
      </c>
      <c r="H747" s="204" t="s">
        <v>77</v>
      </c>
      <c r="I747" s="204" t="s">
        <v>7362</v>
      </c>
    </row>
    <row r="748" spans="1:9" x14ac:dyDescent="0.25">
      <c r="A748" s="204" t="s">
        <v>801</v>
      </c>
      <c r="B748" s="9" t="str">
        <f t="shared" si="22"/>
        <v>13180208</v>
      </c>
      <c r="C748" s="9" t="str">
        <f>VLOOKUP(B748,COA!A:B,2,FALSE)</f>
        <v>River Valley MI - Customer Lockbox</v>
      </c>
      <c r="D748" s="338" t="str">
        <f t="shared" si="23"/>
        <v>C1312</v>
      </c>
      <c r="E748" s="338" t="s">
        <v>6885</v>
      </c>
      <c r="G748" s="338">
        <v>0</v>
      </c>
      <c r="H748" s="204" t="s">
        <v>77</v>
      </c>
      <c r="I748" s="204" t="s">
        <v>7362</v>
      </c>
    </row>
    <row r="749" spans="1:9" x14ac:dyDescent="0.25">
      <c r="A749" s="204" t="s">
        <v>802</v>
      </c>
      <c r="B749" s="9" t="str">
        <f t="shared" si="22"/>
        <v>13180216</v>
      </c>
      <c r="C749" s="9" t="str">
        <f>VLOOKUP(B749,COA!A:B,2,FALSE)</f>
        <v>River Valley MI - NSF Return Payments</v>
      </c>
      <c r="D749" s="338" t="str">
        <f t="shared" si="23"/>
        <v>C1312</v>
      </c>
      <c r="E749" s="338" t="s">
        <v>6885</v>
      </c>
      <c r="G749" s="338">
        <v>0</v>
      </c>
      <c r="H749" s="204" t="s">
        <v>77</v>
      </c>
      <c r="I749" s="204" t="s">
        <v>7362</v>
      </c>
    </row>
    <row r="750" spans="1:9" x14ac:dyDescent="0.25">
      <c r="A750" s="204" t="s">
        <v>803</v>
      </c>
      <c r="B750" s="9" t="str">
        <f t="shared" si="22"/>
        <v>13180217</v>
      </c>
      <c r="C750" s="9" t="str">
        <f>VLOOKUP(B750,COA!A:B,2,FALSE)</f>
        <v>River Valley MI - Misc Debits/Credits</v>
      </c>
      <c r="D750" s="338" t="str">
        <f t="shared" si="23"/>
        <v>C1312</v>
      </c>
      <c r="E750" s="338" t="s">
        <v>6885</v>
      </c>
      <c r="G750" s="338">
        <v>0</v>
      </c>
      <c r="H750" s="204" t="s">
        <v>77</v>
      </c>
      <c r="I750" s="204" t="s">
        <v>7362</v>
      </c>
    </row>
    <row r="751" spans="1:9" x14ac:dyDescent="0.25">
      <c r="A751" s="204" t="s">
        <v>804</v>
      </c>
      <c r="B751" s="9" t="str">
        <f t="shared" si="22"/>
        <v>13180300</v>
      </c>
      <c r="C751" s="9" t="str">
        <f>VLOOKUP(B751,COA!A:B,2,FALSE)</f>
        <v>First Hawaiian HI</v>
      </c>
      <c r="D751" s="338" t="str">
        <f t="shared" si="23"/>
        <v>C1312</v>
      </c>
      <c r="E751" s="338" t="s">
        <v>6885</v>
      </c>
      <c r="G751" s="338">
        <v>0</v>
      </c>
      <c r="H751" s="204" t="s">
        <v>77</v>
      </c>
      <c r="I751" s="204" t="s">
        <v>7362</v>
      </c>
    </row>
    <row r="752" spans="1:9" x14ac:dyDescent="0.25">
      <c r="A752" s="204" t="s">
        <v>805</v>
      </c>
      <c r="B752" s="9" t="str">
        <f t="shared" si="22"/>
        <v>13180301</v>
      </c>
      <c r="C752" s="9" t="str">
        <f>VLOOKUP(B752,COA!A:B,2,FALSE)</f>
        <v>First Hawaiian HI - Outbound Wire</v>
      </c>
      <c r="D752" s="338" t="str">
        <f t="shared" si="23"/>
        <v>C1312</v>
      </c>
      <c r="E752" s="338" t="s">
        <v>6885</v>
      </c>
      <c r="G752" s="338">
        <v>0</v>
      </c>
      <c r="H752" s="204" t="s">
        <v>77</v>
      </c>
      <c r="I752" s="204" t="s">
        <v>7362</v>
      </c>
    </row>
    <row r="753" spans="1:9" x14ac:dyDescent="0.25">
      <c r="A753" s="204" t="s">
        <v>806</v>
      </c>
      <c r="B753" s="9" t="str">
        <f t="shared" si="22"/>
        <v>13180302</v>
      </c>
      <c r="C753" s="9" t="str">
        <f>VLOOKUP(B753,COA!A:B,2,FALSE)</f>
        <v>First Hawaiian HI - Outbound ACH</v>
      </c>
      <c r="D753" s="338" t="str">
        <f t="shared" si="23"/>
        <v>C1312</v>
      </c>
      <c r="E753" s="338" t="s">
        <v>6885</v>
      </c>
      <c r="G753" s="338">
        <v>0</v>
      </c>
      <c r="H753" s="204" t="s">
        <v>77</v>
      </c>
      <c r="I753" s="204" t="s">
        <v>7362</v>
      </c>
    </row>
    <row r="754" spans="1:9" x14ac:dyDescent="0.25">
      <c r="A754" s="204" t="s">
        <v>807</v>
      </c>
      <c r="B754" s="9" t="str">
        <f t="shared" si="22"/>
        <v>13180308</v>
      </c>
      <c r="C754" s="9" t="str">
        <f>VLOOKUP(B754,COA!A:B,2,FALSE)</f>
        <v>First Hawaiian HI - Customer Lockbox</v>
      </c>
      <c r="D754" s="338" t="str">
        <f t="shared" si="23"/>
        <v>C1312</v>
      </c>
      <c r="E754" s="338" t="s">
        <v>6885</v>
      </c>
      <c r="G754" s="338">
        <v>0</v>
      </c>
      <c r="H754" s="204" t="s">
        <v>77</v>
      </c>
      <c r="I754" s="204" t="s">
        <v>7362</v>
      </c>
    </row>
    <row r="755" spans="1:9" x14ac:dyDescent="0.25">
      <c r="A755" s="204" t="s">
        <v>808</v>
      </c>
      <c r="B755" s="9" t="str">
        <f t="shared" si="22"/>
        <v>13180316</v>
      </c>
      <c r="C755" s="9" t="str">
        <f>VLOOKUP(B755,COA!A:B,2,FALSE)</f>
        <v>First Hawaiian HI - NSF Return Payments</v>
      </c>
      <c r="D755" s="338" t="str">
        <f t="shared" si="23"/>
        <v>C1312</v>
      </c>
      <c r="E755" s="338" t="s">
        <v>6885</v>
      </c>
      <c r="G755" s="338">
        <v>0</v>
      </c>
      <c r="H755" s="204" t="s">
        <v>77</v>
      </c>
      <c r="I755" s="204" t="s">
        <v>7362</v>
      </c>
    </row>
    <row r="756" spans="1:9" x14ac:dyDescent="0.25">
      <c r="A756" s="204" t="s">
        <v>809</v>
      </c>
      <c r="B756" s="9" t="str">
        <f t="shared" si="22"/>
        <v>13180317</v>
      </c>
      <c r="C756" s="9" t="str">
        <f>VLOOKUP(B756,COA!A:B,2,FALSE)</f>
        <v>First Hawaiian HI - Misc Debits/Credits</v>
      </c>
      <c r="D756" s="338" t="str">
        <f t="shared" si="23"/>
        <v>C1312</v>
      </c>
      <c r="E756" s="338" t="s">
        <v>6885</v>
      </c>
      <c r="G756" s="338">
        <v>0</v>
      </c>
      <c r="H756" s="204" t="s">
        <v>77</v>
      </c>
      <c r="I756" s="204" t="s">
        <v>7362</v>
      </c>
    </row>
    <row r="757" spans="1:9" x14ac:dyDescent="0.25">
      <c r="A757" s="204" t="s">
        <v>810</v>
      </c>
      <c r="B757" s="9" t="str">
        <f t="shared" si="22"/>
        <v>13180400</v>
      </c>
      <c r="C757" s="9" t="str">
        <f>VLOOKUP(B757,COA!A:B,2,FALSE)</f>
        <v>Union First VA</v>
      </c>
      <c r="D757" s="338" t="str">
        <f t="shared" si="23"/>
        <v>C1312</v>
      </c>
      <c r="E757" s="338" t="s">
        <v>6885</v>
      </c>
      <c r="G757" s="338">
        <v>0</v>
      </c>
      <c r="H757" s="204" t="s">
        <v>77</v>
      </c>
      <c r="I757" s="204" t="s">
        <v>7362</v>
      </c>
    </row>
    <row r="758" spans="1:9" x14ac:dyDescent="0.25">
      <c r="A758" s="204" t="s">
        <v>811</v>
      </c>
      <c r="B758" s="9" t="str">
        <f t="shared" si="22"/>
        <v>13180401</v>
      </c>
      <c r="C758" s="9" t="str">
        <f>VLOOKUP(B758,COA!A:B,2,FALSE)</f>
        <v>Union First VA - Outbound Wire</v>
      </c>
      <c r="D758" s="338" t="str">
        <f t="shared" si="23"/>
        <v>C1312</v>
      </c>
      <c r="E758" s="338" t="s">
        <v>6885</v>
      </c>
      <c r="G758" s="338">
        <v>0</v>
      </c>
      <c r="H758" s="204" t="s">
        <v>77</v>
      </c>
      <c r="I758" s="204" t="s">
        <v>7362</v>
      </c>
    </row>
    <row r="759" spans="1:9" x14ac:dyDescent="0.25">
      <c r="A759" s="204" t="s">
        <v>812</v>
      </c>
      <c r="B759" s="9" t="str">
        <f t="shared" si="22"/>
        <v>13180402</v>
      </c>
      <c r="C759" s="9" t="str">
        <f>VLOOKUP(B759,COA!A:B,2,FALSE)</f>
        <v>Union First VA - Outbound ACH</v>
      </c>
      <c r="D759" s="338" t="str">
        <f t="shared" si="23"/>
        <v>C1312</v>
      </c>
      <c r="E759" s="338" t="s">
        <v>6885</v>
      </c>
      <c r="G759" s="338">
        <v>0</v>
      </c>
      <c r="H759" s="204" t="s">
        <v>77</v>
      </c>
      <c r="I759" s="204" t="s">
        <v>7362</v>
      </c>
    </row>
    <row r="760" spans="1:9" x14ac:dyDescent="0.25">
      <c r="A760" s="204" t="s">
        <v>813</v>
      </c>
      <c r="B760" s="9" t="str">
        <f t="shared" si="22"/>
        <v>13180408</v>
      </c>
      <c r="C760" s="9" t="str">
        <f>VLOOKUP(B760,COA!A:B,2,FALSE)</f>
        <v>Union First VA - Customer Lockbox</v>
      </c>
      <c r="D760" s="338" t="str">
        <f t="shared" si="23"/>
        <v>C1312</v>
      </c>
      <c r="E760" s="338" t="s">
        <v>6885</v>
      </c>
      <c r="G760" s="338">
        <v>0</v>
      </c>
      <c r="H760" s="204" t="s">
        <v>77</v>
      </c>
      <c r="I760" s="204" t="s">
        <v>7362</v>
      </c>
    </row>
    <row r="761" spans="1:9" x14ac:dyDescent="0.25">
      <c r="A761" s="204" t="s">
        <v>814</v>
      </c>
      <c r="B761" s="9" t="str">
        <f t="shared" si="22"/>
        <v>13180417</v>
      </c>
      <c r="C761" s="9" t="str">
        <f>VLOOKUP(B761,COA!A:B,2,FALSE)</f>
        <v>Union First VA - Misc Debits/Credits</v>
      </c>
      <c r="D761" s="338" t="str">
        <f t="shared" si="23"/>
        <v>C1312</v>
      </c>
      <c r="E761" s="338" t="s">
        <v>6885</v>
      </c>
      <c r="G761" s="338">
        <v>0</v>
      </c>
      <c r="H761" s="204" t="s">
        <v>77</v>
      </c>
      <c r="I761" s="204" t="s">
        <v>7362</v>
      </c>
    </row>
    <row r="762" spans="1:9" x14ac:dyDescent="0.25">
      <c r="A762" s="204" t="s">
        <v>815</v>
      </c>
      <c r="B762" s="9" t="str">
        <f t="shared" si="22"/>
        <v>13181800</v>
      </c>
      <c r="C762" s="9" t="str">
        <f>VLOOKUP(B762,COA!A:B,2,FALSE)</f>
        <v>TD Bank - Gift Card Incentive</v>
      </c>
      <c r="D762" s="338" t="str">
        <f t="shared" si="23"/>
        <v>C1312</v>
      </c>
      <c r="E762" s="338" t="s">
        <v>6885</v>
      </c>
      <c r="G762" s="338">
        <v>0</v>
      </c>
      <c r="H762" s="204" t="s">
        <v>77</v>
      </c>
      <c r="I762" s="204" t="s">
        <v>7362</v>
      </c>
    </row>
    <row r="763" spans="1:9" x14ac:dyDescent="0.25">
      <c r="A763" s="204" t="s">
        <v>816</v>
      </c>
      <c r="B763" s="9" t="str">
        <f t="shared" si="22"/>
        <v>13182400</v>
      </c>
      <c r="C763" s="9" t="str">
        <f>VLOOKUP(B763,COA!A:B,2,FALSE)</f>
        <v>PNC Conveyance Fee Escrow - Main</v>
      </c>
      <c r="D763" s="338" t="str">
        <f t="shared" si="23"/>
        <v>C1312</v>
      </c>
      <c r="E763" s="338" t="s">
        <v>6885</v>
      </c>
      <c r="G763" s="338">
        <v>0</v>
      </c>
      <c r="H763" s="204" t="s">
        <v>77</v>
      </c>
      <c r="I763" s="204" t="s">
        <v>7362</v>
      </c>
    </row>
    <row r="764" spans="1:9" x14ac:dyDescent="0.25">
      <c r="A764" s="204" t="s">
        <v>817</v>
      </c>
      <c r="B764" s="9" t="str">
        <f t="shared" si="22"/>
        <v>13182401</v>
      </c>
      <c r="C764" s="9" t="str">
        <f>VLOOKUP(B764,COA!A:B,2,FALSE)</f>
        <v>PNC Conveyance Fee Escrow - Outbound Wire</v>
      </c>
      <c r="D764" s="338" t="str">
        <f t="shared" si="23"/>
        <v>C1312</v>
      </c>
      <c r="E764" s="338" t="s">
        <v>6885</v>
      </c>
      <c r="G764" s="338">
        <v>0</v>
      </c>
      <c r="H764" s="204" t="s">
        <v>77</v>
      </c>
      <c r="I764" s="204" t="s">
        <v>7362</v>
      </c>
    </row>
    <row r="765" spans="1:9" x14ac:dyDescent="0.25">
      <c r="A765" s="204" t="s">
        <v>818</v>
      </c>
      <c r="B765" s="9" t="str">
        <f t="shared" si="22"/>
        <v>13182417</v>
      </c>
      <c r="C765" s="9" t="str">
        <f>VLOOKUP(B765,COA!A:B,2,FALSE)</f>
        <v>PNC Conveyance Fee Escrow - Misc Debits/Credits</v>
      </c>
      <c r="D765" s="338" t="str">
        <f t="shared" si="23"/>
        <v>C1312</v>
      </c>
      <c r="E765" s="338" t="s">
        <v>6885</v>
      </c>
      <c r="G765" s="338">
        <v>0</v>
      </c>
      <c r="H765" s="204" t="s">
        <v>77</v>
      </c>
      <c r="I765" s="204" t="s">
        <v>7362</v>
      </c>
    </row>
    <row r="766" spans="1:9" x14ac:dyDescent="0.25">
      <c r="A766" s="204" t="s">
        <v>819</v>
      </c>
      <c r="B766" s="9" t="str">
        <f t="shared" si="22"/>
        <v>13182500</v>
      </c>
      <c r="C766" s="9" t="str">
        <f>VLOOKUP(B766,COA!A:B,2,FALSE)</f>
        <v>Busey Bank IL-Collections for Bollingbrook</v>
      </c>
      <c r="D766" s="338" t="str">
        <f t="shared" si="23"/>
        <v>C1312</v>
      </c>
      <c r="E766" s="338" t="s">
        <v>6885</v>
      </c>
      <c r="G766" s="338">
        <v>0</v>
      </c>
      <c r="H766" s="204" t="s">
        <v>77</v>
      </c>
      <c r="I766" s="204" t="s">
        <v>7362</v>
      </c>
    </row>
    <row r="767" spans="1:9" x14ac:dyDescent="0.25">
      <c r="A767" s="204" t="s">
        <v>820</v>
      </c>
      <c r="B767" s="9" t="str">
        <f t="shared" si="22"/>
        <v>13182516</v>
      </c>
      <c r="C767" s="9" t="str">
        <f>VLOOKUP(B767,COA!A:B,2,FALSE)</f>
        <v>Busey Bank IL-NSF Return Payments-Bollingbrook</v>
      </c>
      <c r="D767" s="338" t="str">
        <f t="shared" si="23"/>
        <v>C1312</v>
      </c>
      <c r="E767" s="338" t="s">
        <v>6885</v>
      </c>
      <c r="G767" s="338">
        <v>0</v>
      </c>
      <c r="H767" s="204" t="s">
        <v>77</v>
      </c>
      <c r="I767" s="204" t="s">
        <v>7362</v>
      </c>
    </row>
    <row r="768" spans="1:9" x14ac:dyDescent="0.25">
      <c r="A768" s="204" t="s">
        <v>821</v>
      </c>
      <c r="B768" s="9" t="str">
        <f t="shared" si="22"/>
        <v>13182600</v>
      </c>
      <c r="C768" s="9" t="str">
        <f>VLOOKUP(B768,COA!A:B,2,FALSE)</f>
        <v>First Volunteer Bank, Whitwell, TN</v>
      </c>
      <c r="D768" s="338" t="str">
        <f t="shared" si="23"/>
        <v>C1312</v>
      </c>
      <c r="E768" s="338" t="s">
        <v>6885</v>
      </c>
      <c r="G768" s="338">
        <v>0</v>
      </c>
      <c r="H768" s="204" t="s">
        <v>77</v>
      </c>
      <c r="I768" s="204" t="s">
        <v>7362</v>
      </c>
    </row>
    <row r="769" spans="1:9" x14ac:dyDescent="0.25">
      <c r="A769" s="204" t="s">
        <v>822</v>
      </c>
      <c r="B769" s="9" t="str">
        <f t="shared" si="22"/>
        <v>13199001</v>
      </c>
      <c r="C769" s="9" t="str">
        <f>VLOOKUP(B769,COA!A:B,2,FALSE)</f>
        <v>Cash Clearing - NSF Check</v>
      </c>
      <c r="D769" s="338" t="str">
        <f t="shared" si="23"/>
        <v>C1312</v>
      </c>
      <c r="E769" s="338" t="s">
        <v>6885</v>
      </c>
      <c r="G769" s="338">
        <v>0</v>
      </c>
      <c r="H769" s="204" t="s">
        <v>77</v>
      </c>
      <c r="I769" s="204" t="s">
        <v>7362</v>
      </c>
    </row>
    <row r="770" spans="1:9" x14ac:dyDescent="0.25">
      <c r="A770" s="204" t="s">
        <v>823</v>
      </c>
      <c r="B770" s="9" t="str">
        <f t="shared" si="22"/>
        <v>13199002</v>
      </c>
      <c r="C770" s="9" t="str">
        <f>VLOOKUP(B770,COA!A:B,2,FALSE)</f>
        <v>Cash Clearing - Mixed Payments</v>
      </c>
      <c r="D770" s="338" t="str">
        <f t="shared" si="23"/>
        <v>C1312</v>
      </c>
      <c r="E770" s="338" t="s">
        <v>6885</v>
      </c>
      <c r="G770" s="338">
        <v>0</v>
      </c>
      <c r="H770" s="204" t="s">
        <v>77</v>
      </c>
      <c r="I770" s="204" t="s">
        <v>7362</v>
      </c>
    </row>
    <row r="771" spans="1:9" x14ac:dyDescent="0.25">
      <c r="A771" s="204" t="s">
        <v>824</v>
      </c>
      <c r="B771" s="9" t="str">
        <f t="shared" si="22"/>
        <v>13199003</v>
      </c>
      <c r="C771" s="9" t="str">
        <f>VLOOKUP(B771,COA!A:B,2,FALSE)</f>
        <v>Cash Clearing - Misc Debits/Credits</v>
      </c>
      <c r="D771" s="338" t="str">
        <f t="shared" si="23"/>
        <v>C1312</v>
      </c>
      <c r="E771" s="338" t="s">
        <v>6885</v>
      </c>
      <c r="G771" s="338">
        <v>0</v>
      </c>
      <c r="H771" s="204" t="s">
        <v>77</v>
      </c>
      <c r="I771" s="204" t="s">
        <v>7362</v>
      </c>
    </row>
    <row r="772" spans="1:9" x14ac:dyDescent="0.25">
      <c r="A772" s="204" t="s">
        <v>825</v>
      </c>
      <c r="B772" s="9" t="str">
        <f t="shared" si="22"/>
        <v>13199004</v>
      </c>
      <c r="C772" s="9" t="str">
        <f>VLOOKUP(B772,COA!A:B,2,FALSE)</f>
        <v>Cash Clearing - MI's</v>
      </c>
      <c r="D772" s="338" t="str">
        <f t="shared" si="23"/>
        <v>C1312</v>
      </c>
      <c r="E772" s="338" t="s">
        <v>6885</v>
      </c>
      <c r="G772" s="338">
        <v>0</v>
      </c>
      <c r="H772" s="204" t="s">
        <v>77</v>
      </c>
      <c r="I772" s="204" t="s">
        <v>7362</v>
      </c>
    </row>
    <row r="773" spans="1:9" x14ac:dyDescent="0.25">
      <c r="A773" s="204" t="s">
        <v>826</v>
      </c>
      <c r="B773" s="9" t="str">
        <f t="shared" si="22"/>
        <v>13199005</v>
      </c>
      <c r="C773" s="9" t="str">
        <f>VLOOKUP(B773,COA!A:B,2,FALSE)</f>
        <v>Cash Clearing - ORCOM</v>
      </c>
      <c r="D773" s="338" t="str">
        <f t="shared" si="23"/>
        <v>C1312</v>
      </c>
      <c r="E773" s="338" t="s">
        <v>6885</v>
      </c>
      <c r="G773" s="338">
        <v>0</v>
      </c>
      <c r="H773" s="204" t="s">
        <v>77</v>
      </c>
      <c r="I773" s="204" t="s">
        <v>7362</v>
      </c>
    </row>
    <row r="774" spans="1:9" x14ac:dyDescent="0.25">
      <c r="A774" s="204" t="s">
        <v>827</v>
      </c>
      <c r="B774" s="9" t="str">
        <f t="shared" si="22"/>
        <v>13199006</v>
      </c>
      <c r="C774" s="9" t="str">
        <f>VLOOKUP(B774,COA!A:B,2,FALSE)</f>
        <v>Cash Clearing - Intercompany</v>
      </c>
      <c r="D774" s="338" t="str">
        <f t="shared" si="23"/>
        <v>C1312</v>
      </c>
      <c r="E774" s="338" t="s">
        <v>6885</v>
      </c>
      <c r="G774" s="338">
        <v>0</v>
      </c>
      <c r="H774" s="204" t="s">
        <v>77</v>
      </c>
      <c r="I774" s="204" t="s">
        <v>7362</v>
      </c>
    </row>
    <row r="775" spans="1:9" x14ac:dyDescent="0.25">
      <c r="A775" s="204" t="s">
        <v>828</v>
      </c>
      <c r="B775" s="9" t="str">
        <f t="shared" si="22"/>
        <v>13199999</v>
      </c>
      <c r="C775" s="9" t="str">
        <f>VLOOKUP(B775,COA!A:B,2,FALSE)</f>
        <v>Cash Conversion History</v>
      </c>
      <c r="D775" s="338" t="str">
        <f t="shared" si="23"/>
        <v>C1312</v>
      </c>
      <c r="E775" s="338" t="s">
        <v>6885</v>
      </c>
      <c r="G775" s="338">
        <v>0</v>
      </c>
      <c r="H775" s="204" t="s">
        <v>77</v>
      </c>
      <c r="I775" s="204" t="s">
        <v>7362</v>
      </c>
    </row>
    <row r="776" spans="1:9" x14ac:dyDescent="0.25">
      <c r="A776" s="204" t="s">
        <v>829</v>
      </c>
      <c r="B776" s="9" t="str">
        <f t="shared" ref="B776:B838" si="24">RIGHT(A776,8)</f>
        <v>13500000</v>
      </c>
      <c r="C776" s="9" t="str">
        <f>VLOOKUP(B776,COA!A:B,2,FALSE)</f>
        <v>Petty Cash</v>
      </c>
      <c r="D776" s="338" t="str">
        <f t="shared" si="23"/>
        <v>C134</v>
      </c>
      <c r="E776" s="338" t="s">
        <v>6885</v>
      </c>
      <c r="G776" s="338">
        <v>0</v>
      </c>
      <c r="H776" s="204" t="s">
        <v>77</v>
      </c>
      <c r="I776" s="204" t="s">
        <v>7378</v>
      </c>
    </row>
    <row r="777" spans="1:9" x14ac:dyDescent="0.25">
      <c r="A777" s="204" t="s">
        <v>830</v>
      </c>
      <c r="B777" s="9" t="str">
        <f t="shared" si="24"/>
        <v>13600000</v>
      </c>
      <c r="C777" s="9" t="str">
        <f>VLOOKUP(B777,COA!A:B,2,FALSE)</f>
        <v>Temp Investments - under 90 days</v>
      </c>
      <c r="D777" s="338" t="str">
        <f t="shared" si="23"/>
        <v>C135</v>
      </c>
      <c r="E777" s="338" t="s">
        <v>6885</v>
      </c>
      <c r="G777" s="338">
        <v>0</v>
      </c>
      <c r="H777" s="204" t="s">
        <v>77</v>
      </c>
      <c r="I777" s="204" t="s">
        <v>7379</v>
      </c>
    </row>
    <row r="778" spans="1:9" x14ac:dyDescent="0.25">
      <c r="A778" s="204" t="s">
        <v>831</v>
      </c>
      <c r="B778" s="9" t="str">
        <f t="shared" si="24"/>
        <v>13700000</v>
      </c>
      <c r="C778" s="9" t="str">
        <f>VLOOKUP(B778,COA!A:B,2,FALSE)</f>
        <v>Temp Investments - over 90 days</v>
      </c>
      <c r="D778" s="338" t="str">
        <f t="shared" si="23"/>
        <v>C135</v>
      </c>
      <c r="E778" s="338" t="s">
        <v>6885</v>
      </c>
      <c r="G778" s="338">
        <v>0</v>
      </c>
      <c r="H778" s="204" t="s">
        <v>77</v>
      </c>
      <c r="I778" s="204" t="s">
        <v>7379</v>
      </c>
    </row>
    <row r="779" spans="1:9" x14ac:dyDescent="0.25">
      <c r="A779" s="204" t="s">
        <v>832</v>
      </c>
      <c r="B779" s="9" t="str">
        <f t="shared" si="24"/>
        <v>13800000</v>
      </c>
      <c r="C779" s="9" t="str">
        <f>VLOOKUP(B779,COA!A:B,2,FALSE)</f>
        <v>Funds Restricted for Construction - Current</v>
      </c>
      <c r="D779" s="338" t="str">
        <f t="shared" ref="D779:D842" si="25">+I779</f>
        <v>C1312</v>
      </c>
      <c r="E779" s="338" t="s">
        <v>6885</v>
      </c>
      <c r="G779" s="338">
        <v>0</v>
      </c>
      <c r="H779" s="204" t="s">
        <v>77</v>
      </c>
      <c r="I779" s="204" t="s">
        <v>7362</v>
      </c>
    </row>
    <row r="780" spans="1:9" x14ac:dyDescent="0.25">
      <c r="A780" s="204" t="s">
        <v>833</v>
      </c>
      <c r="B780" s="9" t="str">
        <f t="shared" si="24"/>
        <v>14100000</v>
      </c>
      <c r="C780" s="9" t="str">
        <f>VLOOKUP(B780,COA!A:B,2,FALSE)</f>
        <v>A/R - Customer - CIS Reconciliation</v>
      </c>
      <c r="D780" s="338" t="str">
        <f t="shared" si="25"/>
        <v>C141</v>
      </c>
      <c r="E780" s="338" t="s">
        <v>6885</v>
      </c>
      <c r="G780" s="338">
        <v>0</v>
      </c>
      <c r="H780" s="204" t="s">
        <v>77</v>
      </c>
      <c r="I780" s="204" t="s">
        <v>7380</v>
      </c>
    </row>
    <row r="781" spans="1:9" x14ac:dyDescent="0.25">
      <c r="A781" s="204" t="s">
        <v>834</v>
      </c>
      <c r="B781" s="9" t="str">
        <f t="shared" si="24"/>
        <v>14100001</v>
      </c>
      <c r="C781" s="9" t="str">
        <f>VLOOKUP(B781,COA!A:B,2,FALSE)</f>
        <v>A/R - Customer - Non-Regulated</v>
      </c>
      <c r="D781" s="338" t="str">
        <f t="shared" si="25"/>
        <v>C141</v>
      </c>
      <c r="E781" s="338" t="s">
        <v>6885</v>
      </c>
      <c r="G781" s="338">
        <v>0</v>
      </c>
      <c r="H781" s="204" t="s">
        <v>77</v>
      </c>
      <c r="I781" s="204" t="s">
        <v>7380</v>
      </c>
    </row>
    <row r="782" spans="1:9" x14ac:dyDescent="0.25">
      <c r="A782" s="204" t="s">
        <v>835</v>
      </c>
      <c r="B782" s="9" t="str">
        <f t="shared" si="24"/>
        <v>14100002</v>
      </c>
      <c r="C782" s="9" t="str">
        <f>VLOOKUP(B782,COA!A:B,2,FALSE)</f>
        <v>A/R - Customer - Unallocated</v>
      </c>
      <c r="D782" s="338" t="str">
        <f t="shared" si="25"/>
        <v>C141</v>
      </c>
      <c r="E782" s="338" t="s">
        <v>6885</v>
      </c>
      <c r="G782" s="338">
        <v>0</v>
      </c>
      <c r="H782" s="204" t="s">
        <v>77</v>
      </c>
      <c r="I782" s="204" t="s">
        <v>7380</v>
      </c>
    </row>
    <row r="783" spans="1:9" x14ac:dyDescent="0.25">
      <c r="A783" s="204" t="s">
        <v>836</v>
      </c>
      <c r="B783" s="9" t="str">
        <f t="shared" si="24"/>
        <v>14100003</v>
      </c>
      <c r="C783" s="9" t="str">
        <f>VLOOKUP(B783,COA!A:B,2,FALSE)</f>
        <v>A/R - Customer - ECIS</v>
      </c>
      <c r="D783" s="338" t="str">
        <f t="shared" si="25"/>
        <v>C141</v>
      </c>
      <c r="E783" s="338" t="s">
        <v>6885</v>
      </c>
      <c r="G783" s="338">
        <v>0</v>
      </c>
      <c r="H783" s="204" t="s">
        <v>77</v>
      </c>
      <c r="I783" s="204" t="s">
        <v>7380</v>
      </c>
    </row>
    <row r="784" spans="1:9" x14ac:dyDescent="0.25">
      <c r="A784" s="204" t="s">
        <v>837</v>
      </c>
      <c r="B784" s="9" t="str">
        <f t="shared" si="24"/>
        <v>14100010</v>
      </c>
      <c r="C784" s="9" t="str">
        <f>VLOOKUP(B784,COA!A:B,2,FALSE)</f>
        <v>A/R - Customer - Miscellaneous - PAW Other</v>
      </c>
      <c r="D784" s="338" t="str">
        <f t="shared" si="25"/>
        <v>C141</v>
      </c>
      <c r="E784" s="338" t="s">
        <v>6885</v>
      </c>
      <c r="G784" s="338">
        <v>0</v>
      </c>
      <c r="H784" s="204" t="s">
        <v>77</v>
      </c>
      <c r="I784" s="204" t="s">
        <v>7380</v>
      </c>
    </row>
    <row r="785" spans="1:9" x14ac:dyDescent="0.25">
      <c r="A785" s="204" t="s">
        <v>838</v>
      </c>
      <c r="B785" s="9" t="str">
        <f t="shared" si="24"/>
        <v>14100020</v>
      </c>
      <c r="C785" s="9" t="str">
        <f>VLOOKUP(B785,COA!A:B,2,FALSE)</f>
        <v>A/R - Customer - Pittsburgh</v>
      </c>
      <c r="D785" s="338" t="str">
        <f t="shared" si="25"/>
        <v>C141</v>
      </c>
      <c r="E785" s="338" t="s">
        <v>6885</v>
      </c>
      <c r="G785" s="338">
        <v>0</v>
      </c>
      <c r="H785" s="204" t="s">
        <v>77</v>
      </c>
      <c r="I785" s="204" t="s">
        <v>7380</v>
      </c>
    </row>
    <row r="786" spans="1:9" x14ac:dyDescent="0.25">
      <c r="A786" s="204" t="s">
        <v>839</v>
      </c>
      <c r="B786" s="9" t="str">
        <f t="shared" si="24"/>
        <v>14100099</v>
      </c>
      <c r="C786" s="9" t="str">
        <f>VLOOKUP(B786,COA!A:B,2,FALSE)</f>
        <v>A/R - Customer - Clearing - Credit Rfnd Processing</v>
      </c>
      <c r="D786" s="338" t="str">
        <f t="shared" si="25"/>
        <v>C141</v>
      </c>
      <c r="E786" s="338" t="s">
        <v>6885</v>
      </c>
      <c r="G786" s="338">
        <v>0</v>
      </c>
      <c r="H786" s="204" t="s">
        <v>77</v>
      </c>
      <c r="I786" s="204" t="s">
        <v>7380</v>
      </c>
    </row>
    <row r="787" spans="1:9" x14ac:dyDescent="0.25">
      <c r="A787" s="204" t="s">
        <v>840</v>
      </c>
      <c r="B787" s="9" t="str">
        <f t="shared" si="24"/>
        <v>14100998</v>
      </c>
      <c r="C787" s="9" t="str">
        <f>VLOOKUP(B787,COA!A:B,2,FALSE)</f>
        <v>A/R - Customer - Payment Clarification</v>
      </c>
      <c r="D787" s="338" t="str">
        <f t="shared" si="25"/>
        <v>C141</v>
      </c>
      <c r="E787" s="338" t="s">
        <v>6885</v>
      </c>
      <c r="G787" s="338">
        <v>0</v>
      </c>
      <c r="H787" s="204" t="s">
        <v>77</v>
      </c>
      <c r="I787" s="204" t="s">
        <v>7380</v>
      </c>
    </row>
    <row r="788" spans="1:9" x14ac:dyDescent="0.25">
      <c r="A788" s="204" t="s">
        <v>841</v>
      </c>
      <c r="B788" s="9" t="str">
        <f t="shared" si="24"/>
        <v>14100999</v>
      </c>
      <c r="C788" s="9" t="str">
        <f>VLOOKUP(B788,COA!A:B,2,FALSE)</f>
        <v>A/R - Customer - Returns Clarification</v>
      </c>
      <c r="D788" s="338" t="str">
        <f t="shared" si="25"/>
        <v>C141</v>
      </c>
      <c r="E788" s="338" t="s">
        <v>6885</v>
      </c>
      <c r="G788" s="338">
        <v>0</v>
      </c>
      <c r="H788" s="204" t="s">
        <v>77</v>
      </c>
      <c r="I788" s="204" t="s">
        <v>7380</v>
      </c>
    </row>
    <row r="789" spans="1:9" x14ac:dyDescent="0.25">
      <c r="A789" s="204" t="s">
        <v>842</v>
      </c>
      <c r="B789" s="9" t="str">
        <f t="shared" si="24"/>
        <v>14300000</v>
      </c>
      <c r="C789" s="9" t="str">
        <f>VLOOKUP(B789,COA!A:B,2,FALSE)</f>
        <v>Allowance for Uncollectible Accounts</v>
      </c>
      <c r="D789" s="338" t="str">
        <f t="shared" si="25"/>
        <v>C143</v>
      </c>
      <c r="E789" s="338" t="s">
        <v>6885</v>
      </c>
      <c r="G789" s="338">
        <v>0</v>
      </c>
      <c r="H789" s="204" t="s">
        <v>77</v>
      </c>
      <c r="I789" s="204" t="s">
        <v>7381</v>
      </c>
    </row>
    <row r="790" spans="1:9" x14ac:dyDescent="0.25">
      <c r="A790" s="204" t="s">
        <v>843</v>
      </c>
      <c r="B790" s="9" t="str">
        <f t="shared" si="24"/>
        <v>14300001</v>
      </c>
      <c r="C790" s="9" t="str">
        <f>VLOOKUP(B790,COA!A:B,2,FALSE)</f>
        <v>Allowance for Uncollectible Accounts Non-Regulated</v>
      </c>
      <c r="D790" s="338" t="str">
        <f t="shared" si="25"/>
        <v>C143</v>
      </c>
      <c r="E790" s="338" t="s">
        <v>6885</v>
      </c>
      <c r="G790" s="338">
        <v>0</v>
      </c>
      <c r="H790" s="204" t="s">
        <v>77</v>
      </c>
      <c r="I790" s="204" t="s">
        <v>7381</v>
      </c>
    </row>
    <row r="791" spans="1:9" x14ac:dyDescent="0.25">
      <c r="A791" s="204" t="s">
        <v>844</v>
      </c>
      <c r="B791" s="9" t="str">
        <f t="shared" si="24"/>
        <v>14399999</v>
      </c>
      <c r="C791" s="9" t="str">
        <f>VLOOKUP(B791,COA!A:B,2,FALSE)</f>
        <v>Allowance for Uncollectable Accts - CIS Conversion</v>
      </c>
      <c r="D791" s="338" t="str">
        <f t="shared" si="25"/>
        <v>C143</v>
      </c>
      <c r="E791" s="338" t="s">
        <v>6885</v>
      </c>
      <c r="G791" s="338">
        <v>0</v>
      </c>
      <c r="H791" s="204" t="s">
        <v>77</v>
      </c>
      <c r="I791" s="204" t="s">
        <v>7381</v>
      </c>
    </row>
    <row r="792" spans="1:9" x14ac:dyDescent="0.25">
      <c r="A792" s="204" t="s">
        <v>845</v>
      </c>
      <c r="B792" s="9" t="str">
        <f t="shared" si="24"/>
        <v>14400000</v>
      </c>
      <c r="C792" s="9" t="str">
        <f>VLOOKUP(B792,COA!A:B,2,FALSE)</f>
        <v>Unbilled Utility Revenue</v>
      </c>
      <c r="D792" s="338" t="str">
        <f t="shared" si="25"/>
        <v>C173</v>
      </c>
      <c r="E792" s="338" t="s">
        <v>6885</v>
      </c>
      <c r="G792" s="338">
        <v>0</v>
      </c>
      <c r="H792" s="204" t="s">
        <v>77</v>
      </c>
      <c r="I792" s="204" t="s">
        <v>7382</v>
      </c>
    </row>
    <row r="793" spans="1:9" x14ac:dyDescent="0.25">
      <c r="A793" s="204" t="s">
        <v>846</v>
      </c>
      <c r="B793" s="9" t="str">
        <f t="shared" si="24"/>
        <v>14400001</v>
      </c>
      <c r="C793" s="9" t="str">
        <f>VLOOKUP(B793,COA!A:B,2,FALSE)</f>
        <v>Unbilled Utility Revenue Non-Regulated</v>
      </c>
      <c r="D793" s="338" t="str">
        <f t="shared" si="25"/>
        <v>C173</v>
      </c>
      <c r="E793" s="338" t="s">
        <v>6885</v>
      </c>
      <c r="G793" s="338">
        <v>0</v>
      </c>
      <c r="H793" s="204" t="s">
        <v>77</v>
      </c>
      <c r="I793" s="204" t="s">
        <v>7382</v>
      </c>
    </row>
    <row r="794" spans="1:9" x14ac:dyDescent="0.25">
      <c r="A794" s="204" t="s">
        <v>847</v>
      </c>
      <c r="B794" s="9" t="str">
        <f t="shared" si="24"/>
        <v>14510000</v>
      </c>
      <c r="C794" s="9" t="str">
        <f>VLOOKUP(B794,COA!A:B,2,FALSE)</f>
        <v>A/R Assoc Cos - Miscellaneous</v>
      </c>
      <c r="D794" s="338" t="str">
        <f t="shared" si="25"/>
        <v>C145</v>
      </c>
      <c r="E794" s="338" t="s">
        <v>6885</v>
      </c>
      <c r="G794" s="338">
        <v>0</v>
      </c>
      <c r="H794" s="204" t="s">
        <v>77</v>
      </c>
      <c r="I794" s="204" t="s">
        <v>7383</v>
      </c>
    </row>
    <row r="795" spans="1:9" x14ac:dyDescent="0.25">
      <c r="A795" s="204" t="s">
        <v>848</v>
      </c>
      <c r="B795" s="9" t="str">
        <f t="shared" si="24"/>
        <v>14510100</v>
      </c>
      <c r="C795" s="9" t="str">
        <f>VLOOKUP(B795,COA!A:B,2,FALSE)</f>
        <v>A/R Assoc Cos - Reconciliation Account</v>
      </c>
      <c r="D795" s="338" t="str">
        <f t="shared" si="25"/>
        <v>C145</v>
      </c>
      <c r="E795" s="338" t="s">
        <v>6885</v>
      </c>
      <c r="G795" s="338">
        <v>0</v>
      </c>
      <c r="H795" s="204" t="s">
        <v>77</v>
      </c>
      <c r="I795" s="204" t="s">
        <v>7383</v>
      </c>
    </row>
    <row r="796" spans="1:9" x14ac:dyDescent="0.25">
      <c r="A796" s="204" t="s">
        <v>849</v>
      </c>
      <c r="B796" s="9" t="str">
        <f t="shared" si="24"/>
        <v>14510600</v>
      </c>
      <c r="C796" s="9" t="str">
        <f>VLOOKUP(B796,COA!A:B,2,FALSE)</f>
        <v>Intercompany System Clearing -CIS Only</v>
      </c>
      <c r="D796" s="338" t="str">
        <f t="shared" si="25"/>
        <v>C145</v>
      </c>
      <c r="E796" s="338" t="s">
        <v>6885</v>
      </c>
      <c r="G796" s="338">
        <v>0</v>
      </c>
      <c r="H796" s="204" t="s">
        <v>77</v>
      </c>
      <c r="I796" s="204" t="s">
        <v>7383</v>
      </c>
    </row>
    <row r="797" spans="1:9" x14ac:dyDescent="0.25">
      <c r="A797" s="204" t="s">
        <v>850</v>
      </c>
      <c r="B797" s="9" t="str">
        <f t="shared" si="24"/>
        <v>14510999</v>
      </c>
      <c r="C797" s="9" t="str">
        <f>VLOOKUP(B797,COA!A:B,2,FALSE)</f>
        <v>A/R Assoc Cos - Settlement Clearing</v>
      </c>
      <c r="D797" s="338" t="str">
        <f t="shared" si="25"/>
        <v>C145</v>
      </c>
      <c r="E797" s="338" t="s">
        <v>6885</v>
      </c>
      <c r="G797" s="338">
        <v>0</v>
      </c>
      <c r="H797" s="204" t="s">
        <v>77</v>
      </c>
      <c r="I797" s="204" t="s">
        <v>7383</v>
      </c>
    </row>
    <row r="798" spans="1:9" x14ac:dyDescent="0.25">
      <c r="A798" s="204" t="s">
        <v>851</v>
      </c>
      <c r="B798" s="9" t="str">
        <f t="shared" si="24"/>
        <v>14511000</v>
      </c>
      <c r="C798" s="9" t="str">
        <f>VLOOKUP(B798,COA!A:B,2,FALSE)</f>
        <v>A/R Assoc Cos - Service Company Bill</v>
      </c>
      <c r="D798" s="338" t="str">
        <f t="shared" si="25"/>
        <v>C145</v>
      </c>
      <c r="E798" s="338" t="s">
        <v>6885</v>
      </c>
      <c r="G798" s="338">
        <v>0</v>
      </c>
      <c r="H798" s="204" t="s">
        <v>77</v>
      </c>
      <c r="I798" s="204" t="s">
        <v>7383</v>
      </c>
    </row>
    <row r="799" spans="1:9" x14ac:dyDescent="0.25">
      <c r="A799" s="204" t="s">
        <v>852</v>
      </c>
      <c r="B799" s="9" t="str">
        <f t="shared" si="24"/>
        <v>14511001</v>
      </c>
      <c r="C799" s="9" t="str">
        <f>VLOOKUP(B799,COA!A:B,2,FALSE)</f>
        <v>A/R Assoc Cos - Service Company Bill</v>
      </c>
      <c r="D799" s="338" t="str">
        <f t="shared" si="25"/>
        <v>C145</v>
      </c>
      <c r="E799" s="338" t="s">
        <v>6885</v>
      </c>
      <c r="G799" s="338">
        <v>0</v>
      </c>
      <c r="H799" s="204" t="s">
        <v>77</v>
      </c>
      <c r="I799" s="204" t="s">
        <v>7383</v>
      </c>
    </row>
    <row r="800" spans="1:9" x14ac:dyDescent="0.25">
      <c r="A800" s="204" t="s">
        <v>853</v>
      </c>
      <c r="B800" s="9" t="str">
        <f t="shared" si="24"/>
        <v>14511031</v>
      </c>
      <c r="C800" s="9" t="str">
        <f>VLOOKUP(B800,COA!A:B,2,FALSE)</f>
        <v>A/R Assoc Cos - Service Settlement AWE</v>
      </c>
      <c r="D800" s="338" t="str">
        <f t="shared" si="25"/>
        <v>C145</v>
      </c>
      <c r="E800" s="338" t="s">
        <v>6885</v>
      </c>
      <c r="G800" s="338">
        <v>0</v>
      </c>
      <c r="H800" s="204" t="s">
        <v>77</v>
      </c>
      <c r="I800" s="204" t="s">
        <v>7383</v>
      </c>
    </row>
    <row r="801" spans="1:9" x14ac:dyDescent="0.25">
      <c r="A801" s="204" t="s">
        <v>854</v>
      </c>
      <c r="B801" s="9" t="str">
        <f t="shared" si="24"/>
        <v>14511039</v>
      </c>
      <c r="C801" s="9" t="str">
        <f>VLOOKUP(B801,COA!A:B,2,FALSE)</f>
        <v>A/R Assoc Cos - Service Settlement New York Aqua</v>
      </c>
      <c r="D801" s="338" t="str">
        <f t="shared" si="25"/>
        <v>C145</v>
      </c>
      <c r="E801" s="338" t="s">
        <v>6885</v>
      </c>
      <c r="G801" s="338">
        <v>0</v>
      </c>
      <c r="H801" s="204" t="s">
        <v>77</v>
      </c>
      <c r="I801" s="204" t="s">
        <v>7383</v>
      </c>
    </row>
    <row r="802" spans="1:9" x14ac:dyDescent="0.25">
      <c r="A802" s="204" t="s">
        <v>855</v>
      </c>
      <c r="B802" s="9" t="str">
        <f t="shared" si="24"/>
        <v>14511054</v>
      </c>
      <c r="C802" s="9" t="str">
        <f>VLOOKUP(B802,COA!A:B,2,FALSE)</f>
        <v>A/R Assoc Cos - Service Settlement Edison</v>
      </c>
      <c r="D802" s="338" t="str">
        <f t="shared" si="25"/>
        <v>C145</v>
      </c>
      <c r="E802" s="338" t="s">
        <v>6885</v>
      </c>
      <c r="G802" s="338">
        <v>0</v>
      </c>
      <c r="H802" s="204" t="s">
        <v>77</v>
      </c>
      <c r="I802" s="204" t="s">
        <v>7383</v>
      </c>
    </row>
    <row r="803" spans="1:9" x14ac:dyDescent="0.25">
      <c r="A803" s="204" t="s">
        <v>856</v>
      </c>
      <c r="B803" s="9" t="str">
        <f t="shared" si="24"/>
        <v>14511055</v>
      </c>
      <c r="C803" s="9" t="str">
        <f>VLOOKUP(B803,COA!A:B,2,FALSE)</f>
        <v>A/R Assoc Cos - Service Settlement Liberty</v>
      </c>
      <c r="D803" s="338" t="str">
        <f t="shared" si="25"/>
        <v>C145</v>
      </c>
      <c r="E803" s="338" t="s">
        <v>6885</v>
      </c>
      <c r="G803" s="338">
        <v>0</v>
      </c>
      <c r="H803" s="204" t="s">
        <v>77</v>
      </c>
      <c r="I803" s="204" t="s">
        <v>7383</v>
      </c>
    </row>
    <row r="804" spans="1:9" x14ac:dyDescent="0.25">
      <c r="A804" s="204" t="s">
        <v>857</v>
      </c>
      <c r="B804" s="9" t="str">
        <f t="shared" si="24"/>
        <v>14511056</v>
      </c>
      <c r="C804" s="9" t="str">
        <f>VLOOKUP(B804,COA!A:B,2,FALSE)</f>
        <v>A/R Assoc Cos - Service Settlement E'Town Services</v>
      </c>
      <c r="D804" s="338" t="str">
        <f t="shared" si="25"/>
        <v>C145</v>
      </c>
      <c r="E804" s="338" t="s">
        <v>6885</v>
      </c>
      <c r="G804" s="338">
        <v>0</v>
      </c>
      <c r="H804" s="204" t="s">
        <v>77</v>
      </c>
      <c r="I804" s="204" t="s">
        <v>7383</v>
      </c>
    </row>
    <row r="805" spans="1:9" x14ac:dyDescent="0.25">
      <c r="A805" s="204" t="s">
        <v>858</v>
      </c>
      <c r="B805" s="9" t="str">
        <f t="shared" si="24"/>
        <v>14511070</v>
      </c>
      <c r="C805" s="9" t="str">
        <f>VLOOKUP(B805,COA!A:B,2,FALSE)</f>
        <v>A/R Assoc Cos - SC AIW</v>
      </c>
      <c r="D805" s="338" t="str">
        <f t="shared" si="25"/>
        <v>C145</v>
      </c>
      <c r="E805" s="338" t="s">
        <v>6885</v>
      </c>
      <c r="G805" s="338">
        <v>0</v>
      </c>
      <c r="H805" s="204" t="s">
        <v>77</v>
      </c>
      <c r="I805" s="204" t="s">
        <v>7383</v>
      </c>
    </row>
    <row r="806" spans="1:9" x14ac:dyDescent="0.25">
      <c r="A806" s="204" t="s">
        <v>859</v>
      </c>
      <c r="B806" s="9" t="str">
        <f t="shared" si="24"/>
        <v>14511076</v>
      </c>
      <c r="C806" s="9" t="str">
        <f>VLOOKUP(B806,COA!A:B,2,FALSE)</f>
        <v>A/R Assoc Cos - One Water Street LLC</v>
      </c>
      <c r="D806" s="338" t="str">
        <f t="shared" si="25"/>
        <v>C145</v>
      </c>
      <c r="E806" s="338" t="s">
        <v>6885</v>
      </c>
      <c r="G806" s="338">
        <v>0</v>
      </c>
      <c r="H806" s="204" t="s">
        <v>77</v>
      </c>
      <c r="I806" s="204" t="s">
        <v>7383</v>
      </c>
    </row>
    <row r="807" spans="1:9" x14ac:dyDescent="0.25">
      <c r="A807" s="204" t="s">
        <v>860</v>
      </c>
      <c r="B807" s="9" t="str">
        <f t="shared" si="24"/>
        <v>14511081</v>
      </c>
      <c r="C807" s="9" t="str">
        <f>VLOOKUP(B807,COA!A:B,2,FALSE)</f>
        <v>A/R Assoc Cos - Service Settlement AWE HOS</v>
      </c>
      <c r="D807" s="338" t="str">
        <f t="shared" si="25"/>
        <v>C145</v>
      </c>
      <c r="E807" s="338" t="s">
        <v>6885</v>
      </c>
      <c r="G807" s="338">
        <v>0</v>
      </c>
      <c r="H807" s="204" t="s">
        <v>77</v>
      </c>
      <c r="I807" s="204" t="s">
        <v>7383</v>
      </c>
    </row>
    <row r="808" spans="1:9" x14ac:dyDescent="0.25">
      <c r="A808" s="204" t="s">
        <v>861</v>
      </c>
      <c r="B808" s="9" t="str">
        <f t="shared" si="24"/>
        <v>14511082</v>
      </c>
      <c r="C808" s="9" t="str">
        <f>VLOOKUP(B808,COA!A:B,2,FALSE)</f>
        <v>A/R Assoc Cos - Service Settlement AWE Pivotal</v>
      </c>
      <c r="D808" s="338" t="str">
        <f t="shared" si="25"/>
        <v>C145</v>
      </c>
      <c r="E808" s="338" t="s">
        <v>6885</v>
      </c>
      <c r="G808" s="338">
        <v>0</v>
      </c>
      <c r="H808" s="204" t="s">
        <v>77</v>
      </c>
      <c r="I808" s="204" t="s">
        <v>7383</v>
      </c>
    </row>
    <row r="809" spans="1:9" x14ac:dyDescent="0.25">
      <c r="A809" s="204" t="s">
        <v>862</v>
      </c>
      <c r="B809" s="9" t="str">
        <f t="shared" si="24"/>
        <v>14511083</v>
      </c>
      <c r="C809" s="9" t="str">
        <f>VLOOKUP(B809,COA!A:B,2,FALSE)</f>
        <v>A/R Assoc Cos - Service Settlement AWE MSG</v>
      </c>
      <c r="D809" s="338" t="str">
        <f t="shared" si="25"/>
        <v>C145</v>
      </c>
      <c r="E809" s="338" t="s">
        <v>6885</v>
      </c>
      <c r="G809" s="338">
        <v>0</v>
      </c>
      <c r="H809" s="204" t="s">
        <v>77</v>
      </c>
      <c r="I809" s="204" t="s">
        <v>7383</v>
      </c>
    </row>
    <row r="810" spans="1:9" x14ac:dyDescent="0.25">
      <c r="A810" s="204" t="s">
        <v>863</v>
      </c>
      <c r="B810" s="9" t="str">
        <f t="shared" si="24"/>
        <v>14511084</v>
      </c>
      <c r="C810" s="9" t="str">
        <f>VLOOKUP(B810,COA!A:B,2,FALSE)</f>
        <v>A/R Assoc Cos - Service Settlement AWE CSG</v>
      </c>
      <c r="D810" s="338" t="str">
        <f t="shared" si="25"/>
        <v>C145</v>
      </c>
      <c r="E810" s="338" t="s">
        <v>6885</v>
      </c>
      <c r="G810" s="338">
        <v>0</v>
      </c>
      <c r="H810" s="204" t="s">
        <v>77</v>
      </c>
      <c r="I810" s="204" t="s">
        <v>7383</v>
      </c>
    </row>
    <row r="811" spans="1:9" x14ac:dyDescent="0.25">
      <c r="A811" s="204" t="s">
        <v>864</v>
      </c>
      <c r="B811" s="9" t="str">
        <f t="shared" si="24"/>
        <v>14512000</v>
      </c>
      <c r="C811" s="9" t="str">
        <f>VLOOKUP(B811,COA!A:B,2,FALSE)</f>
        <v>A/R Assoc Cos - Payroll Tax</v>
      </c>
      <c r="D811" s="338" t="str">
        <f t="shared" si="25"/>
        <v>C145</v>
      </c>
      <c r="E811" s="338" t="s">
        <v>6885</v>
      </c>
      <c r="G811" s="338">
        <v>0</v>
      </c>
      <c r="H811" s="204" t="s">
        <v>77</v>
      </c>
      <c r="I811" s="204" t="s">
        <v>7383</v>
      </c>
    </row>
    <row r="812" spans="1:9" x14ac:dyDescent="0.25">
      <c r="A812" s="204" t="s">
        <v>865</v>
      </c>
      <c r="B812" s="9" t="str">
        <f t="shared" si="24"/>
        <v>14512500</v>
      </c>
      <c r="C812" s="9" t="str">
        <f>VLOOKUP(B812,COA!A:B,2,FALSE)</f>
        <v>A/R Assoc Cos - Payroll Disbursements</v>
      </c>
      <c r="D812" s="338" t="str">
        <f t="shared" si="25"/>
        <v>C145</v>
      </c>
      <c r="E812" s="338" t="s">
        <v>6885</v>
      </c>
      <c r="G812" s="338">
        <v>0</v>
      </c>
      <c r="H812" s="204" t="s">
        <v>77</v>
      </c>
      <c r="I812" s="204" t="s">
        <v>7383</v>
      </c>
    </row>
    <row r="813" spans="1:9" x14ac:dyDescent="0.25">
      <c r="A813" s="204" t="s">
        <v>866</v>
      </c>
      <c r="B813" s="9" t="str">
        <f t="shared" si="24"/>
        <v>14571000</v>
      </c>
      <c r="C813" s="9" t="str">
        <f>VLOOKUP(B813,COA!A:B,2,FALSE)</f>
        <v>A/R Assoc Cos - Dividend Receivable</v>
      </c>
      <c r="D813" s="338" t="str">
        <f t="shared" si="25"/>
        <v>C171</v>
      </c>
      <c r="E813" s="338" t="s">
        <v>6885</v>
      </c>
      <c r="G813" s="338">
        <v>0</v>
      </c>
      <c r="H813" s="204" t="s">
        <v>77</v>
      </c>
      <c r="I813" s="204" t="s">
        <v>7384</v>
      </c>
    </row>
    <row r="814" spans="1:9" x14ac:dyDescent="0.25">
      <c r="A814" s="204" t="s">
        <v>867</v>
      </c>
      <c r="B814" s="9" t="str">
        <f t="shared" si="24"/>
        <v>14572000</v>
      </c>
      <c r="C814" s="9" t="str">
        <f>VLOOKUP(B814,COA!A:B,2,FALSE)</f>
        <v>A/R Assoc Cos - Interest Receivable</v>
      </c>
      <c r="D814" s="338" t="str">
        <f t="shared" si="25"/>
        <v>C171</v>
      </c>
      <c r="E814" s="338" t="s">
        <v>6885</v>
      </c>
      <c r="G814" s="338">
        <v>0</v>
      </c>
      <c r="H814" s="204" t="s">
        <v>77</v>
      </c>
      <c r="I814" s="204" t="s">
        <v>7384</v>
      </c>
    </row>
    <row r="815" spans="1:9" x14ac:dyDescent="0.25">
      <c r="A815" s="204" t="s">
        <v>868</v>
      </c>
      <c r="B815" s="9" t="str">
        <f t="shared" si="24"/>
        <v>14573000</v>
      </c>
      <c r="C815" s="9" t="str">
        <f>VLOOKUP(B815,COA!A:B,2,FALSE)</f>
        <v>A/R Assoc Cos - Dividend Equivalents</v>
      </c>
      <c r="D815" s="338" t="str">
        <f t="shared" si="25"/>
        <v>C145</v>
      </c>
      <c r="E815" s="338" t="s">
        <v>6885</v>
      </c>
      <c r="G815" s="338">
        <v>0</v>
      </c>
      <c r="H815" s="204" t="s">
        <v>77</v>
      </c>
      <c r="I815" s="204" t="s">
        <v>7383</v>
      </c>
    </row>
    <row r="816" spans="1:9" x14ac:dyDescent="0.25">
      <c r="A816" s="204" t="s">
        <v>869</v>
      </c>
      <c r="B816" s="9" t="str">
        <f t="shared" si="24"/>
        <v>14574000</v>
      </c>
      <c r="C816" s="9" t="str">
        <f>VLOOKUP(B816,COA!A:B,2,FALSE)</f>
        <v>N/R Assoc Co's</v>
      </c>
      <c r="D816" s="338" t="str">
        <f t="shared" si="25"/>
        <v>C146</v>
      </c>
      <c r="E816" s="338" t="s">
        <v>6885</v>
      </c>
      <c r="G816" s="338">
        <v>0</v>
      </c>
      <c r="H816" s="204" t="s">
        <v>77</v>
      </c>
      <c r="I816" s="204" t="s">
        <v>7385</v>
      </c>
    </row>
    <row r="817" spans="1:9" x14ac:dyDescent="0.25">
      <c r="A817" s="204" t="s">
        <v>870</v>
      </c>
      <c r="B817" s="9" t="str">
        <f t="shared" si="24"/>
        <v>14575000</v>
      </c>
      <c r="C817" s="9" t="str">
        <f>VLOOKUP(B817,COA!A:B,2,FALSE)</f>
        <v>Capital Lease Rec Assoc Cos</v>
      </c>
      <c r="D817" s="338" t="str">
        <f t="shared" si="25"/>
        <v>C145</v>
      </c>
      <c r="E817" s="338" t="s">
        <v>6885</v>
      </c>
      <c r="G817" s="338">
        <v>0</v>
      </c>
      <c r="H817" s="204" t="s">
        <v>77</v>
      </c>
      <c r="I817" s="204" t="s">
        <v>7383</v>
      </c>
    </row>
    <row r="818" spans="1:9" x14ac:dyDescent="0.25">
      <c r="A818" s="204" t="s">
        <v>871</v>
      </c>
      <c r="B818" s="9" t="str">
        <f t="shared" si="24"/>
        <v>14575500</v>
      </c>
      <c r="C818" s="9" t="str">
        <f>VLOOKUP(B818,COA!A:B,2,FALSE)</f>
        <v>Unearned Capital Lease Rec Assoc Cos</v>
      </c>
      <c r="D818" s="338" t="str">
        <f t="shared" si="25"/>
        <v>C145</v>
      </c>
      <c r="E818" s="338" t="s">
        <v>6885</v>
      </c>
      <c r="G818" s="338">
        <v>0</v>
      </c>
      <c r="H818" s="204" t="s">
        <v>77</v>
      </c>
      <c r="I818" s="204" t="s">
        <v>7383</v>
      </c>
    </row>
    <row r="819" spans="1:9" x14ac:dyDescent="0.25">
      <c r="A819" s="204" t="s">
        <v>872</v>
      </c>
      <c r="B819" s="9" t="str">
        <f t="shared" si="24"/>
        <v>14610000</v>
      </c>
      <c r="C819" s="9" t="str">
        <f>VLOOKUP(B819,COA!A:B,2,FALSE)</f>
        <v>Misc A/R - Reconciliation Account</v>
      </c>
      <c r="D819" s="338" t="str">
        <f t="shared" si="25"/>
        <v>C142</v>
      </c>
      <c r="E819" s="338" t="s">
        <v>6885</v>
      </c>
      <c r="G819" s="338">
        <v>0</v>
      </c>
      <c r="H819" s="204" t="s">
        <v>77</v>
      </c>
      <c r="I819" s="204" t="s">
        <v>7386</v>
      </c>
    </row>
    <row r="820" spans="1:9" x14ac:dyDescent="0.25">
      <c r="A820" s="204" t="s">
        <v>873</v>
      </c>
      <c r="B820" s="9" t="str">
        <f t="shared" si="24"/>
        <v>14610099</v>
      </c>
      <c r="C820" s="9" t="str">
        <f>VLOOKUP(B820,COA!A:B,2,FALSE)</f>
        <v>Misc A/R - Conversion</v>
      </c>
      <c r="D820" s="338" t="str">
        <f t="shared" si="25"/>
        <v>C142</v>
      </c>
      <c r="E820" s="338" t="s">
        <v>6885</v>
      </c>
      <c r="G820" s="338">
        <v>0</v>
      </c>
      <c r="H820" s="204" t="s">
        <v>77</v>
      </c>
      <c r="I820" s="204" t="s">
        <v>7386</v>
      </c>
    </row>
    <row r="821" spans="1:9" x14ac:dyDescent="0.25">
      <c r="A821" s="204" t="s">
        <v>874</v>
      </c>
      <c r="B821" s="9" t="str">
        <f t="shared" si="24"/>
        <v>14611000</v>
      </c>
      <c r="C821" s="9" t="str">
        <f>VLOOKUP(B821,COA!A:B,2,FALSE)</f>
        <v>Misc A/R - Manual</v>
      </c>
      <c r="D821" s="338" t="str">
        <f t="shared" si="25"/>
        <v>C142</v>
      </c>
      <c r="E821" s="338" t="s">
        <v>6885</v>
      </c>
      <c r="G821" s="338">
        <v>0</v>
      </c>
      <c r="H821" s="204" t="s">
        <v>77</v>
      </c>
      <c r="I821" s="204" t="s">
        <v>7386</v>
      </c>
    </row>
    <row r="822" spans="1:9" x14ac:dyDescent="0.25">
      <c r="A822" s="204" t="s">
        <v>875</v>
      </c>
      <c r="B822" s="9" t="str">
        <f t="shared" si="24"/>
        <v>14611200</v>
      </c>
      <c r="C822" s="9" t="str">
        <f>VLOOKUP(B822,COA!A:B,2,FALSE)</f>
        <v>Misc A/R - Retro Insurance</v>
      </c>
      <c r="D822" s="338" t="str">
        <f t="shared" si="25"/>
        <v>C142</v>
      </c>
      <c r="E822" s="338" t="s">
        <v>6885</v>
      </c>
      <c r="G822" s="338">
        <v>0</v>
      </c>
      <c r="H822" s="204" t="s">
        <v>77</v>
      </c>
      <c r="I822" s="204" t="s">
        <v>7386</v>
      </c>
    </row>
    <row r="823" spans="1:9" x14ac:dyDescent="0.25">
      <c r="A823" s="204" t="s">
        <v>876</v>
      </c>
      <c r="B823" s="9" t="str">
        <f t="shared" si="24"/>
        <v>14611300</v>
      </c>
      <c r="C823" s="9" t="str">
        <f>VLOOKUP(B823,COA!A:B,2,FALSE)</f>
        <v>Misc A/R - Liability Insurance</v>
      </c>
      <c r="D823" s="338" t="str">
        <f t="shared" si="25"/>
        <v>C142</v>
      </c>
      <c r="E823" s="338" t="s">
        <v>6885</v>
      </c>
      <c r="G823" s="338">
        <v>0</v>
      </c>
      <c r="H823" s="204" t="s">
        <v>77</v>
      </c>
      <c r="I823" s="204" t="s">
        <v>7386</v>
      </c>
    </row>
    <row r="824" spans="1:9" x14ac:dyDescent="0.25">
      <c r="A824" s="204" t="s">
        <v>877</v>
      </c>
      <c r="B824" s="9" t="str">
        <f t="shared" si="24"/>
        <v>14611500</v>
      </c>
      <c r="C824" s="9" t="str">
        <f>VLOOKUP(B824,COA!A:B,2,FALSE)</f>
        <v>Misc A/R - Medicare Subsidy</v>
      </c>
      <c r="D824" s="338" t="str">
        <f t="shared" si="25"/>
        <v>C142</v>
      </c>
      <c r="E824" s="338" t="s">
        <v>6885</v>
      </c>
      <c r="G824" s="338">
        <v>0</v>
      </c>
      <c r="H824" s="204" t="s">
        <v>77</v>
      </c>
      <c r="I824" s="204" t="s">
        <v>7386</v>
      </c>
    </row>
    <row r="825" spans="1:9" x14ac:dyDescent="0.25">
      <c r="A825" s="204" t="s">
        <v>878</v>
      </c>
      <c r="B825" s="9" t="str">
        <f t="shared" si="24"/>
        <v>14612500</v>
      </c>
      <c r="C825" s="9" t="str">
        <f>VLOOKUP(B825,COA!A:B,2,FALSE)</f>
        <v>Misc A/R - OPEB Trust</v>
      </c>
      <c r="D825" s="338" t="str">
        <f t="shared" si="25"/>
        <v>C142</v>
      </c>
      <c r="E825" s="338" t="s">
        <v>6885</v>
      </c>
      <c r="G825" s="338">
        <v>0</v>
      </c>
      <c r="H825" s="204" t="s">
        <v>77</v>
      </c>
      <c r="I825" s="204" t="s">
        <v>7386</v>
      </c>
    </row>
    <row r="826" spans="1:9" x14ac:dyDescent="0.25">
      <c r="A826" s="204" t="s">
        <v>879</v>
      </c>
      <c r="B826" s="9" t="str">
        <f t="shared" si="24"/>
        <v>14613000</v>
      </c>
      <c r="C826" s="9" t="str">
        <f>VLOOKUP(B826,COA!A:B,2,FALSE)</f>
        <v>Misc A/R - Employees</v>
      </c>
      <c r="D826" s="338" t="str">
        <f t="shared" si="25"/>
        <v>C142</v>
      </c>
      <c r="E826" s="338" t="s">
        <v>6885</v>
      </c>
      <c r="G826" s="338">
        <v>0</v>
      </c>
      <c r="H826" s="204" t="s">
        <v>77</v>
      </c>
      <c r="I826" s="204" t="s">
        <v>7386</v>
      </c>
    </row>
    <row r="827" spans="1:9" x14ac:dyDescent="0.25">
      <c r="A827" s="204" t="s">
        <v>880</v>
      </c>
      <c r="B827" s="9" t="str">
        <f t="shared" si="24"/>
        <v>14613100</v>
      </c>
      <c r="C827" s="9" t="str">
        <f>VLOOKUP(B827,COA!A:B,2,FALSE)</f>
        <v>Misc A/R - Employees Payroll</v>
      </c>
      <c r="D827" s="338" t="str">
        <f t="shared" si="25"/>
        <v>C142</v>
      </c>
      <c r="E827" s="338" t="s">
        <v>6885</v>
      </c>
      <c r="G827" s="338">
        <v>0</v>
      </c>
      <c r="H827" s="204" t="s">
        <v>77</v>
      </c>
      <c r="I827" s="204" t="s">
        <v>7386</v>
      </c>
    </row>
    <row r="828" spans="1:9" x14ac:dyDescent="0.25">
      <c r="A828" s="204" t="s">
        <v>881</v>
      </c>
      <c r="B828" s="9" t="str">
        <f t="shared" si="24"/>
        <v>14619999</v>
      </c>
      <c r="C828" s="9" t="str">
        <f>VLOOKUP(B828,COA!A:B,2,FALSE)</f>
        <v>Misc A/R - Miscellaneous Invoice Lockbox Clearing</v>
      </c>
      <c r="D828" s="338" t="str">
        <f t="shared" si="25"/>
        <v>C142</v>
      </c>
      <c r="E828" s="338" t="s">
        <v>6885</v>
      </c>
      <c r="G828" s="338">
        <v>0</v>
      </c>
      <c r="H828" s="204" t="s">
        <v>77</v>
      </c>
      <c r="I828" s="204" t="s">
        <v>7386</v>
      </c>
    </row>
    <row r="829" spans="1:9" x14ac:dyDescent="0.25">
      <c r="A829" s="204" t="s">
        <v>882</v>
      </c>
      <c r="B829" s="9" t="str">
        <f t="shared" si="24"/>
        <v>14620000</v>
      </c>
      <c r="C829" s="9" t="str">
        <f>VLOOKUP(B829,COA!A:B,2,FALSE)</f>
        <v>Misc Rec - Allow for Uncollectible Accts</v>
      </c>
      <c r="D829" s="338" t="str">
        <f t="shared" si="25"/>
        <v>C142</v>
      </c>
      <c r="E829" s="338" t="s">
        <v>6885</v>
      </c>
      <c r="G829" s="338">
        <v>0</v>
      </c>
      <c r="H829" s="204" t="s">
        <v>77</v>
      </c>
      <c r="I829" s="204" t="s">
        <v>7386</v>
      </c>
    </row>
    <row r="830" spans="1:9" x14ac:dyDescent="0.25">
      <c r="A830" s="204" t="s">
        <v>883</v>
      </c>
      <c r="B830" s="9" t="str">
        <f t="shared" si="24"/>
        <v>14640000</v>
      </c>
      <c r="C830" s="9" t="str">
        <f>VLOOKUP(B830,COA!A:B,2,FALSE)</f>
        <v>Notes Receivable</v>
      </c>
      <c r="D830" s="338" t="str">
        <f t="shared" si="25"/>
        <v>C144</v>
      </c>
      <c r="E830" s="338" t="s">
        <v>6885</v>
      </c>
      <c r="G830" s="338">
        <v>0</v>
      </c>
      <c r="H830" s="204" t="s">
        <v>77</v>
      </c>
      <c r="I830" s="204" t="s">
        <v>7387</v>
      </c>
    </row>
    <row r="831" spans="1:9" x14ac:dyDescent="0.25">
      <c r="A831" s="204" t="s">
        <v>884</v>
      </c>
      <c r="B831" s="9" t="str">
        <f t="shared" si="24"/>
        <v>14670000</v>
      </c>
      <c r="C831" s="9" t="str">
        <f>VLOOKUP(B831,COA!A:B,2,FALSE)</f>
        <v>Accrued Interest &amp; Dividend Receivable</v>
      </c>
      <c r="D831" s="338" t="str">
        <f t="shared" si="25"/>
        <v>C171</v>
      </c>
      <c r="E831" s="338" t="s">
        <v>6885</v>
      </c>
      <c r="G831" s="338">
        <v>0</v>
      </c>
      <c r="H831" s="204" t="s">
        <v>77</v>
      </c>
      <c r="I831" s="204" t="s">
        <v>7384</v>
      </c>
    </row>
    <row r="832" spans="1:9" x14ac:dyDescent="0.25">
      <c r="A832" s="204" t="s">
        <v>885</v>
      </c>
      <c r="B832" s="9" t="str">
        <f t="shared" si="24"/>
        <v>14690000</v>
      </c>
      <c r="C832" s="9" t="str">
        <f>VLOOKUP(B832,COA!A:B,2,FALSE)</f>
        <v>Current Portion LT Receivable</v>
      </c>
      <c r="D832" s="338" t="str">
        <f t="shared" si="25"/>
        <v>C142</v>
      </c>
      <c r="E832" s="338" t="s">
        <v>6885</v>
      </c>
      <c r="G832" s="338">
        <v>0</v>
      </c>
      <c r="H832" s="204" t="s">
        <v>77</v>
      </c>
      <c r="I832" s="204" t="s">
        <v>7386</v>
      </c>
    </row>
    <row r="833" spans="1:9" x14ac:dyDescent="0.25">
      <c r="A833" s="204" t="s">
        <v>886</v>
      </c>
      <c r="B833" s="9" t="str">
        <f t="shared" si="24"/>
        <v>14810000</v>
      </c>
      <c r="C833" s="9" t="str">
        <f>VLOOKUP(B833,COA!A:B,2,FALSE)</f>
        <v>Income Tax Receivable - SIT</v>
      </c>
      <c r="D833" s="338" t="str">
        <f t="shared" si="25"/>
        <v>C142</v>
      </c>
      <c r="E833" s="338" t="s">
        <v>6885</v>
      </c>
      <c r="G833" s="338">
        <v>0</v>
      </c>
      <c r="H833" s="204" t="s">
        <v>77</v>
      </c>
      <c r="I833" s="204" t="s">
        <v>7386</v>
      </c>
    </row>
    <row r="834" spans="1:9" x14ac:dyDescent="0.25">
      <c r="A834" s="204" t="s">
        <v>887</v>
      </c>
      <c r="B834" s="9" t="str">
        <f t="shared" si="24"/>
        <v>14820000</v>
      </c>
      <c r="C834" s="9" t="str">
        <f>VLOOKUP(B834,COA!A:B,2,FALSE)</f>
        <v>Income Tax Receivable - FIT</v>
      </c>
      <c r="D834" s="338" t="str">
        <f t="shared" si="25"/>
        <v>C142</v>
      </c>
      <c r="E834" s="338" t="s">
        <v>6885</v>
      </c>
      <c r="G834" s="338">
        <v>0</v>
      </c>
      <c r="H834" s="204" t="s">
        <v>77</v>
      </c>
      <c r="I834" s="204" t="s">
        <v>7386</v>
      </c>
    </row>
    <row r="835" spans="1:9" x14ac:dyDescent="0.25">
      <c r="A835" s="204" t="s">
        <v>888</v>
      </c>
      <c r="B835" s="9" t="str">
        <f t="shared" si="24"/>
        <v>15110000</v>
      </c>
      <c r="C835" s="9" t="str">
        <f>VLOOKUP(B835,COA!A:B,2,FALSE)</f>
        <v>Inventory - Plant Material</v>
      </c>
      <c r="D835" s="338" t="str">
        <f t="shared" si="25"/>
        <v>C151</v>
      </c>
      <c r="E835" s="338" t="s">
        <v>6885</v>
      </c>
      <c r="G835" s="338">
        <v>0</v>
      </c>
      <c r="H835" s="204" t="s">
        <v>77</v>
      </c>
      <c r="I835" s="204" t="s">
        <v>7388</v>
      </c>
    </row>
    <row r="836" spans="1:9" x14ac:dyDescent="0.25">
      <c r="A836" s="204" t="s">
        <v>889</v>
      </c>
      <c r="B836" s="9" t="str">
        <f t="shared" si="24"/>
        <v>15120000</v>
      </c>
      <c r="C836" s="9" t="str">
        <f>VLOOKUP(B836,COA!A:B,2,FALSE)</f>
        <v>Inventory - Fuel</v>
      </c>
      <c r="D836" s="338" t="str">
        <f t="shared" si="25"/>
        <v>C151</v>
      </c>
      <c r="E836" s="338" t="s">
        <v>6885</v>
      </c>
      <c r="G836" s="338">
        <v>0</v>
      </c>
      <c r="H836" s="204" t="s">
        <v>77</v>
      </c>
      <c r="I836" s="204" t="s">
        <v>7388</v>
      </c>
    </row>
    <row r="837" spans="1:9" x14ac:dyDescent="0.25">
      <c r="A837" s="204" t="s">
        <v>890</v>
      </c>
      <c r="B837" s="9" t="str">
        <f t="shared" si="24"/>
        <v>15130000</v>
      </c>
      <c r="C837" s="9" t="str">
        <f>VLOOKUP(B837,COA!A:B,2,FALSE)</f>
        <v>Inventory - Chemicals</v>
      </c>
      <c r="D837" s="338" t="str">
        <f t="shared" si="25"/>
        <v>C151</v>
      </c>
      <c r="E837" s="338" t="s">
        <v>6885</v>
      </c>
      <c r="G837" s="338">
        <v>0</v>
      </c>
      <c r="H837" s="204" t="s">
        <v>77</v>
      </c>
      <c r="I837" s="204" t="s">
        <v>7388</v>
      </c>
    </row>
    <row r="838" spans="1:9" x14ac:dyDescent="0.25">
      <c r="A838" s="204" t="s">
        <v>891</v>
      </c>
      <c r="B838" s="9" t="str">
        <f t="shared" si="24"/>
        <v>15140000</v>
      </c>
      <c r="C838" s="9" t="str">
        <f>VLOOKUP(B838,COA!A:B,2,FALSE)</f>
        <v>Inventory - Other Materials &amp; Supplies</v>
      </c>
      <c r="D838" s="338" t="str">
        <f t="shared" si="25"/>
        <v>C153</v>
      </c>
      <c r="E838" s="338" t="s">
        <v>6885</v>
      </c>
      <c r="G838" s="338">
        <v>0</v>
      </c>
      <c r="H838" s="204" t="s">
        <v>77</v>
      </c>
      <c r="I838" s="204" t="s">
        <v>7389</v>
      </c>
    </row>
    <row r="839" spans="1:9" x14ac:dyDescent="0.25">
      <c r="A839" s="204" t="s">
        <v>892</v>
      </c>
      <c r="B839" s="9" t="str">
        <f t="shared" ref="B839:B900" si="26">RIGHT(A839,8)</f>
        <v>15199997</v>
      </c>
      <c r="C839" s="9" t="str">
        <f>VLOOKUP(B839,COA!A:B,2,FALSE)</f>
        <v>Inventory - Price Difference</v>
      </c>
      <c r="D839" s="338" t="str">
        <f t="shared" si="25"/>
        <v>C153</v>
      </c>
      <c r="E839" s="338" t="s">
        <v>6885</v>
      </c>
      <c r="G839" s="338">
        <v>0</v>
      </c>
      <c r="H839" s="204" t="s">
        <v>77</v>
      </c>
      <c r="I839" s="204" t="s">
        <v>7389</v>
      </c>
    </row>
    <row r="840" spans="1:9" x14ac:dyDescent="0.25">
      <c r="A840" s="204" t="s">
        <v>893</v>
      </c>
      <c r="B840" s="9" t="str">
        <f t="shared" si="26"/>
        <v>15199998</v>
      </c>
      <c r="C840" s="9" t="str">
        <f>VLOOKUP(B840,COA!A:B,2,FALSE)</f>
        <v>Inventory - Consignment Clearing</v>
      </c>
      <c r="D840" s="338" t="str">
        <f t="shared" si="25"/>
        <v>C153</v>
      </c>
      <c r="E840" s="338" t="s">
        <v>6885</v>
      </c>
      <c r="G840" s="338">
        <v>0</v>
      </c>
      <c r="H840" s="204" t="s">
        <v>77</v>
      </c>
      <c r="I840" s="204" t="s">
        <v>7389</v>
      </c>
    </row>
    <row r="841" spans="1:9" x14ac:dyDescent="0.25">
      <c r="A841" s="204" t="s">
        <v>894</v>
      </c>
      <c r="B841" s="9" t="str">
        <f t="shared" si="26"/>
        <v>15199999</v>
      </c>
      <c r="C841" s="9" t="str">
        <f>VLOOKUP(B841,COA!A:B,2,FALSE)</f>
        <v>Inventory - Conversion</v>
      </c>
      <c r="D841" s="338" t="str">
        <f t="shared" si="25"/>
        <v>C153</v>
      </c>
      <c r="E841" s="338" t="s">
        <v>6885</v>
      </c>
      <c r="G841" s="338">
        <v>0</v>
      </c>
      <c r="H841" s="204" t="s">
        <v>77</v>
      </c>
      <c r="I841" s="204" t="s">
        <v>7389</v>
      </c>
    </row>
    <row r="842" spans="1:9" x14ac:dyDescent="0.25">
      <c r="A842" s="204" t="s">
        <v>895</v>
      </c>
      <c r="B842" s="9" t="str">
        <f t="shared" si="26"/>
        <v>16410000</v>
      </c>
      <c r="C842" s="9" t="str">
        <f>VLOOKUP(B842,COA!A:B,2,FALSE)</f>
        <v>Other Special Deposits</v>
      </c>
      <c r="D842" s="338" t="str">
        <f t="shared" si="25"/>
        <v>C133</v>
      </c>
      <c r="E842" s="338" t="s">
        <v>6885</v>
      </c>
      <c r="G842" s="338">
        <v>0</v>
      </c>
      <c r="H842" s="204" t="s">
        <v>77</v>
      </c>
      <c r="I842" s="204" t="s">
        <v>7390</v>
      </c>
    </row>
    <row r="843" spans="1:9" x14ac:dyDescent="0.25">
      <c r="A843" s="204" t="s">
        <v>896</v>
      </c>
      <c r="B843" s="9" t="str">
        <f t="shared" si="26"/>
        <v>16420000</v>
      </c>
      <c r="C843" s="9" t="str">
        <f>VLOOKUP(B843,COA!A:B,2,FALSE)</f>
        <v>Other Current Assets</v>
      </c>
      <c r="D843" s="338" t="str">
        <f t="shared" ref="D843:D906" si="27">+I843</f>
        <v>C174</v>
      </c>
      <c r="E843" s="338" t="s">
        <v>6885</v>
      </c>
      <c r="G843" s="338">
        <v>0</v>
      </c>
      <c r="H843" s="204" t="s">
        <v>77</v>
      </c>
      <c r="I843" s="204" t="s">
        <v>7391</v>
      </c>
    </row>
    <row r="844" spans="1:9" x14ac:dyDescent="0.25">
      <c r="A844" s="204" t="s">
        <v>897</v>
      </c>
      <c r="B844" s="9" t="str">
        <f t="shared" si="26"/>
        <v>16421000</v>
      </c>
      <c r="C844" s="9" t="str">
        <f>VLOOKUP(B844,COA!A:B,2,FALSE)</f>
        <v>Current Portion Tax Credits Receivable</v>
      </c>
      <c r="D844" s="338" t="str">
        <f t="shared" si="27"/>
        <v>C174</v>
      </c>
      <c r="E844" s="338" t="s">
        <v>6885</v>
      </c>
      <c r="G844" s="338">
        <v>0</v>
      </c>
      <c r="H844" s="204" t="s">
        <v>77</v>
      </c>
      <c r="I844" s="204" t="s">
        <v>7391</v>
      </c>
    </row>
    <row r="845" spans="1:9" x14ac:dyDescent="0.25">
      <c r="A845" s="204" t="s">
        <v>898</v>
      </c>
      <c r="B845" s="9" t="str">
        <f t="shared" si="26"/>
        <v>16430000</v>
      </c>
      <c r="C845" s="9" t="str">
        <f>VLOOKUP(B845,COA!A:B,2,FALSE)</f>
        <v>Assets Held For Sale</v>
      </c>
      <c r="D845" s="338" t="str">
        <f t="shared" si="27"/>
        <v>C174</v>
      </c>
      <c r="E845" s="338" t="s">
        <v>6885</v>
      </c>
      <c r="G845" s="338">
        <v>0</v>
      </c>
      <c r="H845" s="204" t="s">
        <v>77</v>
      </c>
      <c r="I845" s="204" t="s">
        <v>7391</v>
      </c>
    </row>
    <row r="846" spans="1:9" x14ac:dyDescent="0.25">
      <c r="A846" s="204" t="s">
        <v>899</v>
      </c>
      <c r="B846" s="9" t="str">
        <f t="shared" si="26"/>
        <v>16510000</v>
      </c>
      <c r="C846" s="9" t="str">
        <f>VLOOKUP(B846,COA!A:B,2,FALSE)</f>
        <v>Prepaid Taxes</v>
      </c>
      <c r="D846" s="338" t="str">
        <f t="shared" si="27"/>
        <v>C162</v>
      </c>
      <c r="E846" s="338" t="s">
        <v>6885</v>
      </c>
      <c r="G846" s="338">
        <v>0</v>
      </c>
      <c r="H846" s="204" t="s">
        <v>77</v>
      </c>
      <c r="I846" s="204" t="s">
        <v>7392</v>
      </c>
    </row>
    <row r="847" spans="1:9" x14ac:dyDescent="0.25">
      <c r="A847" s="204" t="s">
        <v>900</v>
      </c>
      <c r="B847" s="9" t="str">
        <f t="shared" si="26"/>
        <v>16510001</v>
      </c>
      <c r="C847" s="9" t="str">
        <f>VLOOKUP(B847,COA!A:B,2,FALSE)</f>
        <v>Prepaid Taxes - CIS-San Diego License/Franch Tax</v>
      </c>
      <c r="D847" s="338" t="str">
        <f t="shared" si="27"/>
        <v>C162</v>
      </c>
      <c r="E847" s="338" t="s">
        <v>6885</v>
      </c>
      <c r="G847" s="338">
        <v>0</v>
      </c>
      <c r="H847" s="204" t="s">
        <v>77</v>
      </c>
      <c r="I847" s="204" t="s">
        <v>7392</v>
      </c>
    </row>
    <row r="848" spans="1:9" x14ac:dyDescent="0.25">
      <c r="A848" s="204" t="s">
        <v>901</v>
      </c>
      <c r="B848" s="9" t="str">
        <f t="shared" si="26"/>
        <v>16520000</v>
      </c>
      <c r="C848" s="9" t="str">
        <f>VLOOKUP(B848,COA!A:B,2,FALSE)</f>
        <v>Prepaid Insurance</v>
      </c>
      <c r="D848" s="338" t="str">
        <f t="shared" si="27"/>
        <v>C162</v>
      </c>
      <c r="E848" s="338" t="s">
        <v>6885</v>
      </c>
      <c r="G848" s="338">
        <v>0</v>
      </c>
      <c r="H848" s="204" t="s">
        <v>77</v>
      </c>
      <c r="I848" s="204" t="s">
        <v>7392</v>
      </c>
    </row>
    <row r="849" spans="1:9" x14ac:dyDescent="0.25">
      <c r="A849" s="204" t="s">
        <v>902</v>
      </c>
      <c r="B849" s="9" t="str">
        <f t="shared" si="26"/>
        <v>16525000</v>
      </c>
      <c r="C849" s="9" t="str">
        <f>VLOOKUP(B849,COA!A:B,2,FALSE)</f>
        <v>Prepaid Insurance - Intercompany</v>
      </c>
      <c r="D849" s="338" t="str">
        <f t="shared" si="27"/>
        <v>C162</v>
      </c>
      <c r="E849" s="338" t="s">
        <v>6885</v>
      </c>
      <c r="G849" s="338">
        <v>0</v>
      </c>
      <c r="H849" s="204" t="s">
        <v>77</v>
      </c>
      <c r="I849" s="204" t="s">
        <v>7392</v>
      </c>
    </row>
    <row r="850" spans="1:9" x14ac:dyDescent="0.25">
      <c r="A850" s="204" t="s">
        <v>903</v>
      </c>
      <c r="B850" s="9" t="str">
        <f t="shared" si="26"/>
        <v>16530000</v>
      </c>
      <c r="C850" s="9" t="str">
        <f>VLOOKUP(B850,COA!A:B,2,FALSE)</f>
        <v>Prepaid PUC/PSC Assessment</v>
      </c>
      <c r="D850" s="338" t="str">
        <f t="shared" si="27"/>
        <v>C162</v>
      </c>
      <c r="E850" s="338" t="s">
        <v>6885</v>
      </c>
      <c r="G850" s="338">
        <v>0</v>
      </c>
      <c r="H850" s="204" t="s">
        <v>77</v>
      </c>
      <c r="I850" s="204" t="s">
        <v>7392</v>
      </c>
    </row>
    <row r="851" spans="1:9" x14ac:dyDescent="0.25">
      <c r="A851" s="204" t="s">
        <v>904</v>
      </c>
      <c r="B851" s="9" t="str">
        <f t="shared" si="26"/>
        <v>16540000</v>
      </c>
      <c r="C851" s="9" t="str">
        <f>VLOOKUP(B851,COA!A:B,2,FALSE)</f>
        <v>Prepaid Audit Fees</v>
      </c>
      <c r="D851" s="338" t="str">
        <f t="shared" si="27"/>
        <v>C162</v>
      </c>
      <c r="E851" s="338" t="s">
        <v>6885</v>
      </c>
      <c r="G851" s="338">
        <v>0</v>
      </c>
      <c r="H851" s="204" t="s">
        <v>77</v>
      </c>
      <c r="I851" s="204" t="s">
        <v>7392</v>
      </c>
    </row>
    <row r="852" spans="1:9" x14ac:dyDescent="0.25">
      <c r="A852" s="204" t="s">
        <v>905</v>
      </c>
      <c r="B852" s="9" t="str">
        <f t="shared" si="26"/>
        <v>16550000</v>
      </c>
      <c r="C852" s="9" t="str">
        <f>VLOOKUP(B852,COA!A:B,2,FALSE)</f>
        <v>Prepaid Other</v>
      </c>
      <c r="D852" s="338" t="str">
        <f t="shared" si="27"/>
        <v>C162</v>
      </c>
      <c r="E852" s="338" t="s">
        <v>6885</v>
      </c>
      <c r="G852" s="338">
        <v>0</v>
      </c>
      <c r="H852" s="204" t="s">
        <v>77</v>
      </c>
      <c r="I852" s="204" t="s">
        <v>7392</v>
      </c>
    </row>
    <row r="853" spans="1:9" x14ac:dyDescent="0.25">
      <c r="A853" s="204" t="s">
        <v>906</v>
      </c>
      <c r="B853" s="9" t="str">
        <f t="shared" si="26"/>
        <v>16550010</v>
      </c>
      <c r="C853" s="9" t="str">
        <f>VLOOKUP(B853,COA!A:B,2,FALSE)</f>
        <v>Prepaid Other - Global</v>
      </c>
      <c r="D853" s="338" t="str">
        <f t="shared" si="27"/>
        <v>C162</v>
      </c>
      <c r="E853" s="338" t="s">
        <v>6885</v>
      </c>
      <c r="G853" s="338">
        <v>0</v>
      </c>
      <c r="H853" s="204" t="s">
        <v>77</v>
      </c>
      <c r="I853" s="204" t="s">
        <v>7392</v>
      </c>
    </row>
    <row r="854" spans="1:9" x14ac:dyDescent="0.25">
      <c r="A854" s="204" t="s">
        <v>907</v>
      </c>
      <c r="B854" s="9" t="str">
        <f t="shared" si="26"/>
        <v>17420000</v>
      </c>
      <c r="C854" s="9" t="str">
        <f>VLOOKUP(B854,COA!A:B,2,FALSE)</f>
        <v>Income Tax Receivable - Federal - Current Portion</v>
      </c>
      <c r="D854" s="338" t="str">
        <f t="shared" si="27"/>
        <v>C174</v>
      </c>
      <c r="E854" s="338" t="s">
        <v>6885</v>
      </c>
      <c r="G854" s="338">
        <v>0</v>
      </c>
      <c r="H854" s="204" t="s">
        <v>77</v>
      </c>
      <c r="I854" s="204" t="s">
        <v>7391</v>
      </c>
    </row>
    <row r="855" spans="1:9" x14ac:dyDescent="0.25">
      <c r="A855" s="204" t="s">
        <v>908</v>
      </c>
      <c r="B855" s="9" t="str">
        <f t="shared" si="26"/>
        <v>17430000</v>
      </c>
      <c r="C855" s="9" t="str">
        <f>VLOOKUP(B855,COA!A:B,2,FALSE)</f>
        <v>Income Tax Receivable - State - Current Portion</v>
      </c>
      <c r="D855" s="338" t="str">
        <f t="shared" si="27"/>
        <v>C174</v>
      </c>
      <c r="E855" s="338" t="s">
        <v>6885</v>
      </c>
      <c r="G855" s="338">
        <v>0</v>
      </c>
      <c r="H855" s="204" t="s">
        <v>77</v>
      </c>
      <c r="I855" s="204" t="s">
        <v>7391</v>
      </c>
    </row>
    <row r="856" spans="1:9" x14ac:dyDescent="0.25">
      <c r="A856" s="204" t="s">
        <v>909</v>
      </c>
      <c r="B856" s="9" t="str">
        <f t="shared" si="26"/>
        <v>18503000</v>
      </c>
      <c r="C856" s="9" t="str">
        <f>VLOOKUP(B856,COA!A:B,2,FALSE)</f>
        <v>Reg Asset-Inc Tax Rec Thru Rates-AFUDC Equity CWIP</v>
      </c>
      <c r="D856" s="338" t="str">
        <f t="shared" si="27"/>
        <v>C1863</v>
      </c>
      <c r="E856" s="338" t="s">
        <v>6885</v>
      </c>
      <c r="G856" s="338">
        <v>0</v>
      </c>
      <c r="H856" s="204" t="s">
        <v>77</v>
      </c>
      <c r="I856" s="204" t="s">
        <v>7393</v>
      </c>
    </row>
    <row r="857" spans="1:9" x14ac:dyDescent="0.25">
      <c r="A857" s="204" t="s">
        <v>910</v>
      </c>
      <c r="B857" s="9" t="str">
        <f t="shared" si="26"/>
        <v>18503500</v>
      </c>
      <c r="C857" s="9" t="str">
        <f>VLOOKUP(B857,COA!A:B,2,FALSE)</f>
        <v>Reg Asset-Inc Tax Rec Thru Rates-AFUDC Equity</v>
      </c>
      <c r="D857" s="338" t="str">
        <f t="shared" si="27"/>
        <v>C1863</v>
      </c>
      <c r="E857" s="338" t="s">
        <v>6885</v>
      </c>
      <c r="G857" s="338">
        <v>0</v>
      </c>
      <c r="H857" s="204" t="s">
        <v>77</v>
      </c>
      <c r="I857" s="204" t="s">
        <v>7393</v>
      </c>
    </row>
    <row r="858" spans="1:9" x14ac:dyDescent="0.25">
      <c r="A858" s="204" t="s">
        <v>911</v>
      </c>
      <c r="B858" s="9" t="str">
        <f t="shared" si="26"/>
        <v>18504000</v>
      </c>
      <c r="C858" s="9" t="str">
        <f>VLOOKUP(B858,COA!A:B,2,FALSE)</f>
        <v>Reg Asset-Inc Tax Rec Thru Rates-Plant Flow Thru</v>
      </c>
      <c r="D858" s="338" t="str">
        <f t="shared" si="27"/>
        <v>C1863</v>
      </c>
      <c r="E858" s="338" t="s">
        <v>6885</v>
      </c>
      <c r="G858" s="338">
        <v>0</v>
      </c>
      <c r="H858" s="204" t="s">
        <v>77</v>
      </c>
      <c r="I858" s="204" t="s">
        <v>7393</v>
      </c>
    </row>
    <row r="859" spans="1:9" x14ac:dyDescent="0.25">
      <c r="A859" s="204" t="s">
        <v>912</v>
      </c>
      <c r="B859" s="9" t="str">
        <f t="shared" si="26"/>
        <v>18504500</v>
      </c>
      <c r="C859" s="9" t="str">
        <f>VLOOKUP(B859,COA!A:B,2,FALSE)</f>
        <v>Reg Asset-Inc Tax Rec Thru Rates-Other</v>
      </c>
      <c r="D859" s="338" t="str">
        <f t="shared" si="27"/>
        <v>C1863</v>
      </c>
      <c r="E859" s="338" t="s">
        <v>6885</v>
      </c>
      <c r="G859" s="338">
        <v>0</v>
      </c>
      <c r="H859" s="204" t="s">
        <v>77</v>
      </c>
      <c r="I859" s="204" t="s">
        <v>7393</v>
      </c>
    </row>
    <row r="860" spans="1:9" x14ac:dyDescent="0.25">
      <c r="A860" s="204" t="s">
        <v>913</v>
      </c>
      <c r="B860" s="9" t="str">
        <f t="shared" si="26"/>
        <v>18505000</v>
      </c>
      <c r="C860" s="9" t="str">
        <f>VLOOKUP(B860,COA!A:B,2,FALSE)</f>
        <v>Reg Asset-Inc Tax Rec Thru Rates-St Flow Thru</v>
      </c>
      <c r="D860" s="338" t="str">
        <f t="shared" si="27"/>
        <v>C1863</v>
      </c>
      <c r="E860" s="338" t="s">
        <v>6885</v>
      </c>
      <c r="G860" s="338">
        <v>0</v>
      </c>
      <c r="H860" s="204" t="s">
        <v>77</v>
      </c>
      <c r="I860" s="204" t="s">
        <v>7393</v>
      </c>
    </row>
    <row r="861" spans="1:9" x14ac:dyDescent="0.25">
      <c r="A861" s="204" t="s">
        <v>914</v>
      </c>
      <c r="B861" s="9" t="str">
        <f t="shared" si="26"/>
        <v>18505100</v>
      </c>
      <c r="C861" s="9" t="str">
        <f>VLOOKUP(B861,COA!A:B,2,FALSE)</f>
        <v>Reg Asset-Inc Tax Rec Thru Rates-St Tax Chg</v>
      </c>
      <c r="D861" s="338" t="str">
        <f t="shared" si="27"/>
        <v>C1863</v>
      </c>
      <c r="E861" s="338" t="s">
        <v>6885</v>
      </c>
      <c r="G861" s="338">
        <v>0</v>
      </c>
      <c r="H861" s="204" t="s">
        <v>77</v>
      </c>
      <c r="I861" s="204" t="s">
        <v>7393</v>
      </c>
    </row>
    <row r="862" spans="1:9" x14ac:dyDescent="0.25">
      <c r="A862" s="204" t="s">
        <v>915</v>
      </c>
      <c r="B862" s="9" t="str">
        <f t="shared" si="26"/>
        <v>18505500</v>
      </c>
      <c r="C862" s="9" t="str">
        <f>VLOOKUP(B862,COA!A:B,2,FALSE)</f>
        <v>Reg Asset-Inc Tax Rec Thru Rates-Acc Amort</v>
      </c>
      <c r="D862" s="338" t="str">
        <f t="shared" si="27"/>
        <v>C1863</v>
      </c>
      <c r="E862" s="338" t="s">
        <v>6885</v>
      </c>
      <c r="G862" s="338">
        <v>0</v>
      </c>
      <c r="H862" s="204" t="s">
        <v>77</v>
      </c>
      <c r="I862" s="204" t="s">
        <v>7393</v>
      </c>
    </row>
    <row r="863" spans="1:9" x14ac:dyDescent="0.25">
      <c r="A863" s="204" t="s">
        <v>916</v>
      </c>
      <c r="B863" s="9" t="str">
        <f t="shared" si="26"/>
        <v>18506000</v>
      </c>
      <c r="C863" s="9" t="str">
        <f>VLOOKUP(B863,COA!A:B,2,FALSE)</f>
        <v>Reg Asset-Inc Tax Rec Thru Rates-Reg Liab Reclass</v>
      </c>
      <c r="D863" s="338" t="str">
        <f t="shared" si="27"/>
        <v>C1863</v>
      </c>
      <c r="E863" s="338" t="s">
        <v>6885</v>
      </c>
      <c r="G863" s="338">
        <v>0</v>
      </c>
      <c r="H863" s="204" t="s">
        <v>77</v>
      </c>
      <c r="I863" s="204" t="s">
        <v>7393</v>
      </c>
    </row>
    <row r="864" spans="1:9" x14ac:dyDescent="0.25">
      <c r="A864" s="204" t="s">
        <v>917</v>
      </c>
      <c r="B864" s="9" t="str">
        <f t="shared" si="26"/>
        <v>18610000</v>
      </c>
      <c r="C864" s="9" t="str">
        <f>VLOOKUP(B864,COA!A:B,2,FALSE)</f>
        <v>Reg Asset - Deferred Programmed Maint</v>
      </c>
      <c r="D864" s="338" t="str">
        <f t="shared" si="27"/>
        <v>C1862</v>
      </c>
      <c r="E864" s="338" t="s">
        <v>6885</v>
      </c>
      <c r="G864" s="338">
        <v>0</v>
      </c>
      <c r="H864" s="204" t="s">
        <v>77</v>
      </c>
      <c r="I864" s="204" t="s">
        <v>7394</v>
      </c>
    </row>
    <row r="865" spans="1:9" x14ac:dyDescent="0.25">
      <c r="A865" s="204" t="s">
        <v>918</v>
      </c>
      <c r="B865" s="9" t="str">
        <f t="shared" si="26"/>
        <v>18620000</v>
      </c>
      <c r="C865" s="9" t="str">
        <f>VLOOKUP(B865,COA!A:B,2,FALSE)</f>
        <v>Reg Asset - Deferred Rate Case</v>
      </c>
      <c r="D865" s="338" t="str">
        <f t="shared" si="27"/>
        <v>C1861</v>
      </c>
      <c r="E865" s="338" t="s">
        <v>6885</v>
      </c>
      <c r="G865" s="338">
        <v>0</v>
      </c>
      <c r="H865" s="204" t="s">
        <v>77</v>
      </c>
      <c r="I865" s="204" t="s">
        <v>7395</v>
      </c>
    </row>
    <row r="866" spans="1:9" x14ac:dyDescent="0.25">
      <c r="A866" s="204" t="s">
        <v>7396</v>
      </c>
      <c r="B866" s="9" t="str">
        <f t="shared" si="26"/>
        <v>18621000</v>
      </c>
      <c r="C866" s="9" t="str">
        <f>VLOOKUP(B866,COA!A:B,2,FALSE)</f>
        <v>Reg Asset - Deferred Rate Case Surcharge</v>
      </c>
      <c r="D866" s="338" t="str">
        <f t="shared" si="27"/>
        <v>C1861</v>
      </c>
      <c r="E866" s="338" t="s">
        <v>6932</v>
      </c>
      <c r="F866" s="338" t="e">
        <v>#N/A</v>
      </c>
      <c r="G866" s="338" t="e">
        <v>#N/A</v>
      </c>
      <c r="H866" s="204" t="s">
        <v>77</v>
      </c>
      <c r="I866" s="204" t="s">
        <v>7395</v>
      </c>
    </row>
    <row r="867" spans="1:9" x14ac:dyDescent="0.25">
      <c r="A867" s="204" t="s">
        <v>919</v>
      </c>
      <c r="B867" s="9" t="str">
        <f t="shared" si="26"/>
        <v>18631000</v>
      </c>
      <c r="C867" s="9" t="str">
        <f>VLOOKUP(B867,COA!A:B,2,FALSE)</f>
        <v>Reg Asset - Deferred OPEB</v>
      </c>
      <c r="D867" s="338" t="str">
        <f t="shared" si="27"/>
        <v>C1862</v>
      </c>
      <c r="E867" s="338" t="s">
        <v>6885</v>
      </c>
      <c r="G867" s="338">
        <v>0</v>
      </c>
      <c r="H867" s="204" t="s">
        <v>77</v>
      </c>
      <c r="I867" s="204" t="s">
        <v>7394</v>
      </c>
    </row>
    <row r="868" spans="1:9" x14ac:dyDescent="0.25">
      <c r="A868" s="204" t="s">
        <v>920</v>
      </c>
      <c r="B868" s="9" t="str">
        <f t="shared" si="26"/>
        <v>18632000</v>
      </c>
      <c r="C868" s="9" t="str">
        <f>VLOOKUP(B868,COA!A:B,2,FALSE)</f>
        <v>Reg Asset - Deferred OPEB Service Co</v>
      </c>
      <c r="D868" s="338" t="str">
        <f t="shared" si="27"/>
        <v>C1862</v>
      </c>
      <c r="E868" s="338" t="s">
        <v>6885</v>
      </c>
      <c r="G868" s="338">
        <v>0</v>
      </c>
      <c r="H868" s="204" t="s">
        <v>77</v>
      </c>
      <c r="I868" s="204" t="s">
        <v>7394</v>
      </c>
    </row>
    <row r="869" spans="1:9" x14ac:dyDescent="0.25">
      <c r="A869" s="204" t="s">
        <v>921</v>
      </c>
      <c r="B869" s="9" t="str">
        <f t="shared" si="26"/>
        <v>18641000</v>
      </c>
      <c r="C869" s="9" t="str">
        <f>VLOOKUP(B869,COA!A:B,2,FALSE)</f>
        <v>Reg Asset - Deferred Pension</v>
      </c>
      <c r="D869" s="338" t="str">
        <f t="shared" si="27"/>
        <v>C1862</v>
      </c>
      <c r="E869" s="338" t="s">
        <v>6885</v>
      </c>
      <c r="G869" s="338">
        <v>0</v>
      </c>
      <c r="H869" s="204" t="s">
        <v>77</v>
      </c>
      <c r="I869" s="204" t="s">
        <v>7394</v>
      </c>
    </row>
    <row r="870" spans="1:9" x14ac:dyDescent="0.25">
      <c r="A870" s="204" t="s">
        <v>922</v>
      </c>
      <c r="B870" s="9" t="str">
        <f t="shared" si="26"/>
        <v>18642000</v>
      </c>
      <c r="C870" s="9" t="str">
        <f>VLOOKUP(B870,COA!A:B,2,FALSE)</f>
        <v>Reg Asset - Deferred Pension Service Co</v>
      </c>
      <c r="D870" s="338" t="str">
        <f t="shared" si="27"/>
        <v>C1862</v>
      </c>
      <c r="E870" s="338" t="s">
        <v>6885</v>
      </c>
      <c r="G870" s="338">
        <v>0</v>
      </c>
      <c r="H870" s="204" t="s">
        <v>77</v>
      </c>
      <c r="I870" s="204" t="s">
        <v>7394</v>
      </c>
    </row>
    <row r="871" spans="1:9" x14ac:dyDescent="0.25">
      <c r="A871" s="204" t="s">
        <v>923</v>
      </c>
      <c r="B871" s="9" t="str">
        <f t="shared" si="26"/>
        <v>18650000</v>
      </c>
      <c r="C871" s="9" t="str">
        <f>VLOOKUP(B871,COA!A:B,2,FALSE)</f>
        <v>Reg Asset - Purchase Prem Rec Thru Rates</v>
      </c>
      <c r="D871" s="338" t="str">
        <f t="shared" si="27"/>
        <v>C1862</v>
      </c>
      <c r="E871" s="338" t="s">
        <v>6885</v>
      </c>
      <c r="G871" s="338">
        <v>0</v>
      </c>
      <c r="H871" s="204" t="s">
        <v>77</v>
      </c>
      <c r="I871" s="204" t="s">
        <v>7394</v>
      </c>
    </row>
    <row r="872" spans="1:9" x14ac:dyDescent="0.25">
      <c r="A872" s="204" t="s">
        <v>924</v>
      </c>
      <c r="B872" s="9" t="str">
        <f t="shared" si="26"/>
        <v>18661000</v>
      </c>
      <c r="C872" s="9" t="str">
        <f>VLOOKUP(B872,COA!A:B,2,FALSE)</f>
        <v>Reg Asset - Unamortized Debt Exp</v>
      </c>
      <c r="D872" s="338" t="str">
        <f t="shared" si="27"/>
        <v>C181</v>
      </c>
      <c r="E872" s="338" t="s">
        <v>6885</v>
      </c>
      <c r="G872" s="338">
        <v>0</v>
      </c>
      <c r="H872" s="204" t="s">
        <v>77</v>
      </c>
      <c r="I872" s="204" t="s">
        <v>7397</v>
      </c>
    </row>
    <row r="873" spans="1:9" x14ac:dyDescent="0.25">
      <c r="A873" s="204" t="s">
        <v>925</v>
      </c>
      <c r="B873" s="9" t="str">
        <f t="shared" si="26"/>
        <v>18661500</v>
      </c>
      <c r="C873" s="9" t="str">
        <f>VLOOKUP(B873,COA!A:B,2,FALSE)</f>
        <v>Reg Asset - Unamortized Debt Exp Interco</v>
      </c>
      <c r="D873" s="338" t="str">
        <f t="shared" si="27"/>
        <v>C181</v>
      </c>
      <c r="E873" s="338" t="s">
        <v>6885</v>
      </c>
      <c r="G873" s="338">
        <v>0</v>
      </c>
      <c r="H873" s="204" t="s">
        <v>77</v>
      </c>
      <c r="I873" s="204" t="s">
        <v>7397</v>
      </c>
    </row>
    <row r="874" spans="1:9" x14ac:dyDescent="0.25">
      <c r="A874" s="204" t="s">
        <v>926</v>
      </c>
      <c r="B874" s="9" t="str">
        <f t="shared" si="26"/>
        <v>18662000</v>
      </c>
      <c r="C874" s="9" t="str">
        <f>VLOOKUP(B874,COA!A:B,2,FALSE)</f>
        <v>Reg Asset - Unamortized Preferred Stock Exp</v>
      </c>
      <c r="D874" s="338" t="str">
        <f t="shared" si="27"/>
        <v>C181</v>
      </c>
      <c r="E874" s="338" t="s">
        <v>6885</v>
      </c>
      <c r="G874" s="338">
        <v>0</v>
      </c>
      <c r="H874" s="204" t="s">
        <v>77</v>
      </c>
      <c r="I874" s="204" t="s">
        <v>7397</v>
      </c>
    </row>
    <row r="875" spans="1:9" x14ac:dyDescent="0.25">
      <c r="A875" s="204" t="s">
        <v>927</v>
      </c>
      <c r="B875" s="9" t="str">
        <f t="shared" si="26"/>
        <v>18680000</v>
      </c>
      <c r="C875" s="9" t="str">
        <f>VLOOKUP(B875,COA!A:B,2,FALSE)</f>
        <v>Reg Asset - Cost of Removal</v>
      </c>
      <c r="D875" s="338" t="str">
        <f t="shared" si="27"/>
        <v>C1081</v>
      </c>
      <c r="E875" s="338" t="s">
        <v>6885</v>
      </c>
      <c r="G875" s="338">
        <v>0</v>
      </c>
      <c r="H875" s="204" t="s">
        <v>77</v>
      </c>
      <c r="I875" s="204" t="s">
        <v>7352</v>
      </c>
    </row>
    <row r="876" spans="1:9" x14ac:dyDescent="0.25">
      <c r="A876" s="204" t="s">
        <v>928</v>
      </c>
      <c r="B876" s="9" t="str">
        <f t="shared" si="26"/>
        <v>18680100</v>
      </c>
      <c r="C876" s="9" t="str">
        <f>VLOOKUP(B876,COA!A:B,2,FALSE)</f>
        <v>Reg Asset - Cost of Removal - RWIP</v>
      </c>
      <c r="D876" s="338" t="str">
        <f t="shared" si="27"/>
        <v>C1862</v>
      </c>
      <c r="E876" s="338" t="s">
        <v>6885</v>
      </c>
      <c r="G876" s="338">
        <v>0</v>
      </c>
      <c r="H876" s="204" t="s">
        <v>77</v>
      </c>
      <c r="I876" s="204" t="s">
        <v>7394</v>
      </c>
    </row>
    <row r="877" spans="1:9" x14ac:dyDescent="0.25">
      <c r="A877" s="204" t="s">
        <v>929</v>
      </c>
      <c r="B877" s="9" t="str">
        <f t="shared" si="26"/>
        <v>18680101</v>
      </c>
      <c r="C877" s="9" t="str">
        <f>VLOOKUP(B877,COA!A:B,2,FALSE)</f>
        <v>Reg Asset - Deferred Vacation Pay</v>
      </c>
      <c r="D877" s="338" t="str">
        <f t="shared" si="27"/>
        <v>C174</v>
      </c>
      <c r="E877" s="338" t="s">
        <v>6885</v>
      </c>
      <c r="G877" s="338">
        <v>0</v>
      </c>
      <c r="H877" s="204" t="s">
        <v>77</v>
      </c>
      <c r="I877" s="204" t="s">
        <v>7391</v>
      </c>
    </row>
    <row r="878" spans="1:9" x14ac:dyDescent="0.25">
      <c r="A878" s="204" t="s">
        <v>930</v>
      </c>
      <c r="B878" s="9" t="str">
        <f t="shared" si="26"/>
        <v>18680102</v>
      </c>
      <c r="C878" s="9" t="str">
        <f>VLOOKUP(B878,COA!A:B,2,FALSE)</f>
        <v>Reg Asset - Deferred Cust Service Proj</v>
      </c>
      <c r="D878" s="338" t="str">
        <f t="shared" si="27"/>
        <v>C183</v>
      </c>
      <c r="E878" s="338" t="s">
        <v>6885</v>
      </c>
      <c r="G878" s="338">
        <v>0</v>
      </c>
      <c r="H878" s="204" t="s">
        <v>77</v>
      </c>
      <c r="I878" s="204" t="s">
        <v>7398</v>
      </c>
    </row>
    <row r="879" spans="1:9" x14ac:dyDescent="0.25">
      <c r="A879" s="204" t="s">
        <v>931</v>
      </c>
      <c r="B879" s="9" t="str">
        <f t="shared" si="26"/>
        <v>18680103</v>
      </c>
      <c r="C879" s="9" t="str">
        <f>VLOOKUP(B879,COA!A:B,2,FALSE)</f>
        <v>Reg Asset - Deferred Financial Services Proj</v>
      </c>
      <c r="D879" s="338" t="str">
        <f t="shared" si="27"/>
        <v>C183</v>
      </c>
      <c r="E879" s="338" t="s">
        <v>6885</v>
      </c>
      <c r="G879" s="338">
        <v>0</v>
      </c>
      <c r="H879" s="204" t="s">
        <v>77</v>
      </c>
      <c r="I879" s="204" t="s">
        <v>7398</v>
      </c>
    </row>
    <row r="880" spans="1:9" x14ac:dyDescent="0.25">
      <c r="A880" s="204" t="s">
        <v>932</v>
      </c>
      <c r="B880" s="9" t="str">
        <f t="shared" si="26"/>
        <v>18680111</v>
      </c>
      <c r="C880" s="9" t="str">
        <f>VLOOKUP(B880,COA!A:B,2,FALSE)</f>
        <v>Reg Asset - Sick Bank</v>
      </c>
      <c r="D880" s="338" t="str">
        <f t="shared" si="27"/>
        <v>C1862</v>
      </c>
      <c r="E880" s="338" t="s">
        <v>6885</v>
      </c>
      <c r="G880" s="338">
        <v>0</v>
      </c>
      <c r="H880" s="204" t="s">
        <v>77</v>
      </c>
      <c r="I880" s="204" t="s">
        <v>7394</v>
      </c>
    </row>
    <row r="881" spans="1:9" x14ac:dyDescent="0.25">
      <c r="A881" s="204" t="s">
        <v>933</v>
      </c>
      <c r="B881" s="9" t="str">
        <f t="shared" si="26"/>
        <v>18680113</v>
      </c>
      <c r="C881" s="9" t="str">
        <f>VLOOKUP(B881,COA!A:B,2,FALSE)</f>
        <v>Reg Asset - Deferred Purchased Water</v>
      </c>
      <c r="D881" s="338" t="str">
        <f t="shared" si="27"/>
        <v>C1862</v>
      </c>
      <c r="E881" s="338" t="s">
        <v>6885</v>
      </c>
      <c r="G881" s="338">
        <v>0</v>
      </c>
      <c r="H881" s="204" t="s">
        <v>77</v>
      </c>
      <c r="I881" s="204" t="s">
        <v>7394</v>
      </c>
    </row>
    <row r="882" spans="1:9" x14ac:dyDescent="0.25">
      <c r="A882" s="204" t="s">
        <v>934</v>
      </c>
      <c r="B882" s="9" t="str">
        <f t="shared" si="26"/>
        <v>18680126</v>
      </c>
      <c r="C882" s="9" t="str">
        <f>VLOOKUP(B882,COA!A:B,2,FALSE)</f>
        <v>Reg Asset - FAS112 Costs</v>
      </c>
      <c r="D882" s="338" t="str">
        <f t="shared" si="27"/>
        <v>C1862</v>
      </c>
      <c r="E882" s="338" t="s">
        <v>6885</v>
      </c>
      <c r="G882" s="338">
        <v>0</v>
      </c>
      <c r="H882" s="204" t="s">
        <v>77</v>
      </c>
      <c r="I882" s="204" t="s">
        <v>7394</v>
      </c>
    </row>
    <row r="883" spans="1:9" x14ac:dyDescent="0.25">
      <c r="A883" s="204" t="s">
        <v>935</v>
      </c>
      <c r="B883" s="9" t="str">
        <f t="shared" si="26"/>
        <v>18680127</v>
      </c>
      <c r="C883" s="9" t="str">
        <f>VLOOKUP(B883,COA!A:B,2,FALSE)</f>
        <v>Reg Asset - Treatment Plant</v>
      </c>
      <c r="D883" s="338" t="str">
        <f t="shared" si="27"/>
        <v>C1862</v>
      </c>
      <c r="E883" s="338" t="s">
        <v>6885</v>
      </c>
      <c r="G883" s="338">
        <v>0</v>
      </c>
      <c r="H883" s="204" t="s">
        <v>77</v>
      </c>
      <c r="I883" s="204" t="s">
        <v>7394</v>
      </c>
    </row>
    <row r="884" spans="1:9" x14ac:dyDescent="0.25">
      <c r="A884" s="204" t="s">
        <v>936</v>
      </c>
      <c r="B884" s="9" t="str">
        <f t="shared" si="26"/>
        <v>18680131</v>
      </c>
      <c r="C884" s="9" t="str">
        <f>VLOOKUP(B884,COA!A:B,2,FALSE)</f>
        <v>Reg Asset - Depreciation Study</v>
      </c>
      <c r="D884" s="338" t="str">
        <f t="shared" si="27"/>
        <v>C1862</v>
      </c>
      <c r="E884" s="338" t="s">
        <v>6885</v>
      </c>
      <c r="G884" s="338">
        <v>0</v>
      </c>
      <c r="H884" s="204" t="s">
        <v>77</v>
      </c>
      <c r="I884" s="204" t="s">
        <v>7394</v>
      </c>
    </row>
    <row r="885" spans="1:9" x14ac:dyDescent="0.25">
      <c r="A885" s="204" t="s">
        <v>937</v>
      </c>
      <c r="B885" s="9" t="str">
        <f t="shared" si="26"/>
        <v>18680132</v>
      </c>
      <c r="C885" s="9" t="str">
        <f>VLOOKUP(B885,COA!A:B,2,FALSE)</f>
        <v>Reg Asset - Cost of Service Study</v>
      </c>
      <c r="D885" s="338" t="str">
        <f t="shared" si="27"/>
        <v>C1862</v>
      </c>
      <c r="E885" s="338" t="s">
        <v>6885</v>
      </c>
      <c r="G885" s="338">
        <v>0</v>
      </c>
      <c r="H885" s="204" t="s">
        <v>77</v>
      </c>
      <c r="I885" s="204" t="s">
        <v>7394</v>
      </c>
    </row>
    <row r="886" spans="1:9" x14ac:dyDescent="0.25">
      <c r="A886" s="204" t="s">
        <v>938</v>
      </c>
      <c r="B886" s="9" t="str">
        <f t="shared" si="26"/>
        <v>18680134</v>
      </c>
      <c r="C886" s="9" t="str">
        <f>VLOOKUP(B886,COA!A:B,2,FALSE)</f>
        <v>Reg Asset - Post In-Service AFUDC</v>
      </c>
      <c r="D886" s="338" t="str">
        <f t="shared" si="27"/>
        <v>C1862</v>
      </c>
      <c r="E886" s="338" t="s">
        <v>6885</v>
      </c>
      <c r="G886" s="338">
        <v>0</v>
      </c>
      <c r="H886" s="204" t="s">
        <v>77</v>
      </c>
      <c r="I886" s="204" t="s">
        <v>7394</v>
      </c>
    </row>
    <row r="887" spans="1:9" x14ac:dyDescent="0.25">
      <c r="A887" s="204" t="s">
        <v>939</v>
      </c>
      <c r="B887" s="9" t="str">
        <f t="shared" si="26"/>
        <v>18680135</v>
      </c>
      <c r="C887" s="9" t="str">
        <f>VLOOKUP(B887,COA!A:B,2,FALSE)</f>
        <v>Reg Asset - Post In-Service Depreciation</v>
      </c>
      <c r="D887" s="338" t="str">
        <f t="shared" si="27"/>
        <v>C1862</v>
      </c>
      <c r="E887" s="338" t="s">
        <v>6885</v>
      </c>
      <c r="G887" s="338">
        <v>0</v>
      </c>
      <c r="H887" s="204" t="s">
        <v>77</v>
      </c>
      <c r="I887" s="204" t="s">
        <v>7394</v>
      </c>
    </row>
    <row r="888" spans="1:9" x14ac:dyDescent="0.25">
      <c r="A888" s="204" t="s">
        <v>940</v>
      </c>
      <c r="B888" s="9" t="str">
        <f t="shared" si="26"/>
        <v>18680136</v>
      </c>
      <c r="C888" s="9" t="str">
        <f>VLOOKUP(B888,COA!A:B,2,FALSE)</f>
        <v>Reg Asset - Environmental Remediation</v>
      </c>
      <c r="D888" s="338" t="str">
        <f t="shared" si="27"/>
        <v>C1862</v>
      </c>
      <c r="E888" s="338" t="s">
        <v>6885</v>
      </c>
      <c r="G888" s="338">
        <v>0</v>
      </c>
      <c r="H888" s="204" t="s">
        <v>77</v>
      </c>
      <c r="I888" s="204" t="s">
        <v>7394</v>
      </c>
    </row>
    <row r="889" spans="1:9" x14ac:dyDescent="0.25">
      <c r="A889" s="204" t="s">
        <v>941</v>
      </c>
      <c r="B889" s="9" t="str">
        <f t="shared" si="26"/>
        <v>18680137</v>
      </c>
      <c r="C889" s="9" t="str">
        <f>VLOOKUP(B889,COA!A:B,2,FALSE)</f>
        <v>Reg Asset - Rental Costs</v>
      </c>
      <c r="D889" s="338" t="str">
        <f t="shared" si="27"/>
        <v>C1862</v>
      </c>
      <c r="E889" s="338" t="s">
        <v>6885</v>
      </c>
      <c r="G889" s="338">
        <v>0</v>
      </c>
      <c r="H889" s="204" t="s">
        <v>77</v>
      </c>
      <c r="I889" s="204" t="s">
        <v>7394</v>
      </c>
    </row>
    <row r="890" spans="1:9" x14ac:dyDescent="0.25">
      <c r="A890" s="204" t="s">
        <v>942</v>
      </c>
      <c r="B890" s="9" t="str">
        <f t="shared" si="26"/>
        <v>18680140</v>
      </c>
      <c r="C890" s="9" t="str">
        <f>VLOOKUP(B890,COA!A:B,2,FALSE)</f>
        <v>Carmel River Mitigatigation Balancing Account</v>
      </c>
      <c r="D890" s="338" t="str">
        <f t="shared" si="27"/>
        <v>C1862</v>
      </c>
      <c r="E890" s="338" t="s">
        <v>6885</v>
      </c>
      <c r="G890" s="338">
        <v>0</v>
      </c>
      <c r="H890" s="204" t="s">
        <v>77</v>
      </c>
      <c r="I890" s="204" t="s">
        <v>7394</v>
      </c>
    </row>
    <row r="891" spans="1:9" x14ac:dyDescent="0.25">
      <c r="A891" s="204" t="s">
        <v>943</v>
      </c>
      <c r="B891" s="9" t="str">
        <f t="shared" si="26"/>
        <v>18680141</v>
      </c>
      <c r="C891" s="9" t="str">
        <f>VLOOKUP(B891,COA!A:B,2,FALSE)</f>
        <v>Reg Asset - Oper Energy Efficiency</v>
      </c>
      <c r="D891" s="338" t="str">
        <f t="shared" si="27"/>
        <v>C1862</v>
      </c>
      <c r="E891" s="338" t="s">
        <v>6885</v>
      </c>
      <c r="G891" s="338">
        <v>0</v>
      </c>
      <c r="H891" s="204" t="s">
        <v>77</v>
      </c>
      <c r="I891" s="204" t="s">
        <v>7394</v>
      </c>
    </row>
    <row r="892" spans="1:9" x14ac:dyDescent="0.25">
      <c r="A892" s="204" t="s">
        <v>944</v>
      </c>
      <c r="B892" s="9" t="str">
        <f t="shared" si="26"/>
        <v>18680142</v>
      </c>
      <c r="C892" s="9" t="str">
        <f>VLOOKUP(B892,COA!A:B,2,FALSE)</f>
        <v>Reg Asset - Cease &amp; Desist Order</v>
      </c>
      <c r="D892" s="338" t="str">
        <f t="shared" si="27"/>
        <v>C1862</v>
      </c>
      <c r="E892" s="338" t="s">
        <v>6885</v>
      </c>
      <c r="G892" s="338">
        <v>0</v>
      </c>
      <c r="H892" s="204" t="s">
        <v>77</v>
      </c>
      <c r="I892" s="204" t="s">
        <v>7394</v>
      </c>
    </row>
    <row r="893" spans="1:9" x14ac:dyDescent="0.25">
      <c r="A893" s="204" t="s">
        <v>945</v>
      </c>
      <c r="B893" s="9" t="str">
        <f t="shared" si="26"/>
        <v>18680143</v>
      </c>
      <c r="C893" s="9" t="str">
        <f>VLOOKUP(B893,COA!A:B,2,FALSE)</f>
        <v>Reg Asset - Cease &amp; Desist Penalty</v>
      </c>
      <c r="D893" s="338" t="str">
        <f t="shared" si="27"/>
        <v>C1862</v>
      </c>
      <c r="E893" s="338" t="s">
        <v>6885</v>
      </c>
      <c r="G893" s="338">
        <v>0</v>
      </c>
      <c r="H893" s="204" t="s">
        <v>77</v>
      </c>
      <c r="I893" s="204" t="s">
        <v>7394</v>
      </c>
    </row>
    <row r="894" spans="1:9" x14ac:dyDescent="0.25">
      <c r="A894" s="204" t="s">
        <v>946</v>
      </c>
      <c r="B894" s="9" t="str">
        <f t="shared" si="26"/>
        <v>18680144</v>
      </c>
      <c r="C894" s="9" t="str">
        <f>VLOOKUP(B894,COA!A:B,2,FALSE)</f>
        <v>Reg Asset - Waste Disposal</v>
      </c>
      <c r="D894" s="338" t="str">
        <f t="shared" si="27"/>
        <v>C1862</v>
      </c>
      <c r="E894" s="338" t="s">
        <v>6885</v>
      </c>
      <c r="G894" s="338">
        <v>0</v>
      </c>
      <c r="H894" s="204" t="s">
        <v>77</v>
      </c>
      <c r="I894" s="204" t="s">
        <v>7394</v>
      </c>
    </row>
    <row r="895" spans="1:9" x14ac:dyDescent="0.25">
      <c r="A895" s="204" t="s">
        <v>947</v>
      </c>
      <c r="B895" s="9" t="str">
        <f t="shared" si="26"/>
        <v>18680145</v>
      </c>
      <c r="C895" s="9" t="str">
        <f>VLOOKUP(B895,COA!A:B,2,FALSE)</f>
        <v>Reg Asset - Revenue Stabilization</v>
      </c>
      <c r="D895" s="338" t="str">
        <f t="shared" si="27"/>
        <v>C1862</v>
      </c>
      <c r="E895" s="338" t="s">
        <v>6885</v>
      </c>
      <c r="G895" s="338">
        <v>0</v>
      </c>
      <c r="H895" s="204" t="s">
        <v>77</v>
      </c>
      <c r="I895" s="204" t="s">
        <v>7394</v>
      </c>
    </row>
    <row r="896" spans="1:9" x14ac:dyDescent="0.25">
      <c r="A896" s="204" t="s">
        <v>948</v>
      </c>
      <c r="B896" s="9" t="str">
        <f t="shared" si="26"/>
        <v>18680147</v>
      </c>
      <c r="C896" s="9" t="str">
        <f>VLOOKUP(B896,COA!A:B,2,FALSE)</f>
        <v>Reg Asset - Low Income Customer Data Sharing</v>
      </c>
      <c r="D896" s="338" t="str">
        <f t="shared" si="27"/>
        <v>C1862</v>
      </c>
      <c r="E896" s="338" t="s">
        <v>6885</v>
      </c>
      <c r="G896" s="338">
        <v>0</v>
      </c>
      <c r="H896" s="204" t="s">
        <v>77</v>
      </c>
      <c r="I896" s="204" t="s">
        <v>7394</v>
      </c>
    </row>
    <row r="897" spans="1:9" x14ac:dyDescent="0.25">
      <c r="A897" s="204" t="s">
        <v>949</v>
      </c>
      <c r="B897" s="9" t="str">
        <f t="shared" si="26"/>
        <v>18680150</v>
      </c>
      <c r="C897" s="9" t="str">
        <f>VLOOKUP(B897,COA!A:B,2,FALSE)</f>
        <v>Reg Asset- Low Income Balancing</v>
      </c>
      <c r="D897" s="338" t="str">
        <f t="shared" si="27"/>
        <v>C1862</v>
      </c>
      <c r="E897" s="338" t="s">
        <v>6885</v>
      </c>
      <c r="G897" s="338">
        <v>0</v>
      </c>
      <c r="H897" s="204" t="s">
        <v>77</v>
      </c>
      <c r="I897" s="204" t="s">
        <v>7394</v>
      </c>
    </row>
    <row r="898" spans="1:9" x14ac:dyDescent="0.25">
      <c r="A898" s="204" t="s">
        <v>950</v>
      </c>
      <c r="B898" s="9" t="str">
        <f t="shared" si="26"/>
        <v>18680151</v>
      </c>
      <c r="C898" s="9" t="str">
        <f>VLOOKUP(B898,COA!A:B,2,FALSE)</f>
        <v>Reg Asset - Phase 1 ASR</v>
      </c>
      <c r="D898" s="338" t="str">
        <f t="shared" si="27"/>
        <v>C1862</v>
      </c>
      <c r="E898" s="338" t="s">
        <v>6885</v>
      </c>
      <c r="G898" s="338">
        <v>0</v>
      </c>
      <c r="H898" s="204" t="s">
        <v>77</v>
      </c>
      <c r="I898" s="204" t="s">
        <v>7394</v>
      </c>
    </row>
    <row r="899" spans="1:9" x14ac:dyDescent="0.25">
      <c r="A899" s="204" t="s">
        <v>951</v>
      </c>
      <c r="B899" s="9" t="str">
        <f t="shared" si="26"/>
        <v>18680152</v>
      </c>
      <c r="C899" s="9" t="str">
        <f>VLOOKUP(B899,COA!A:B,2,FALSE)</f>
        <v>Reg Asset - Seaside ASR</v>
      </c>
      <c r="D899" s="338" t="str">
        <f t="shared" si="27"/>
        <v>C1862</v>
      </c>
      <c r="E899" s="338" t="s">
        <v>6885</v>
      </c>
      <c r="G899" s="338">
        <v>0</v>
      </c>
      <c r="H899" s="204" t="s">
        <v>77</v>
      </c>
      <c r="I899" s="204" t="s">
        <v>7394</v>
      </c>
    </row>
    <row r="900" spans="1:9" x14ac:dyDescent="0.25">
      <c r="A900" s="204" t="s">
        <v>952</v>
      </c>
      <c r="B900" s="9" t="str">
        <f t="shared" si="26"/>
        <v>18680153</v>
      </c>
      <c r="C900" s="9" t="str">
        <f>VLOOKUP(B900,COA!A:B,2,FALSE)</f>
        <v>Reg Asset - Patton Well</v>
      </c>
      <c r="D900" s="338" t="str">
        <f t="shared" si="27"/>
        <v>C1862</v>
      </c>
      <c r="E900" s="338" t="s">
        <v>6885</v>
      </c>
      <c r="G900" s="338">
        <v>0</v>
      </c>
      <c r="H900" s="204" t="s">
        <v>77</v>
      </c>
      <c r="I900" s="204" t="s">
        <v>7394</v>
      </c>
    </row>
    <row r="901" spans="1:9" x14ac:dyDescent="0.25">
      <c r="A901" s="204" t="s">
        <v>953</v>
      </c>
      <c r="B901" s="9" t="str">
        <f t="shared" ref="B901:B961" si="28">RIGHT(A901,8)</f>
        <v>18680154</v>
      </c>
      <c r="C901" s="9" t="str">
        <f>VLOOKUP(B901,COA!A:B,2,FALSE)</f>
        <v>Reg Asset - Management Study</v>
      </c>
      <c r="D901" s="338" t="str">
        <f t="shared" si="27"/>
        <v>C1862</v>
      </c>
      <c r="E901" s="338" t="s">
        <v>6885</v>
      </c>
      <c r="G901" s="338">
        <v>0</v>
      </c>
      <c r="H901" s="204" t="s">
        <v>77</v>
      </c>
      <c r="I901" s="204" t="s">
        <v>7394</v>
      </c>
    </row>
    <row r="902" spans="1:9" x14ac:dyDescent="0.25">
      <c r="A902" s="204" t="s">
        <v>954</v>
      </c>
      <c r="B902" s="9" t="str">
        <f t="shared" si="28"/>
        <v>18680160</v>
      </c>
      <c r="C902" s="9" t="str">
        <f>VLOOKUP(B902,COA!A:B,2,FALSE)</f>
        <v>Reg Asset - Santa Rosa Groundwater Survey</v>
      </c>
      <c r="D902" s="338" t="str">
        <f t="shared" si="27"/>
        <v>C1862</v>
      </c>
      <c r="E902" s="338" t="s">
        <v>6885</v>
      </c>
      <c r="G902" s="338">
        <v>0</v>
      </c>
      <c r="H902" s="204" t="s">
        <v>77</v>
      </c>
      <c r="I902" s="204" t="s">
        <v>7394</v>
      </c>
    </row>
    <row r="903" spans="1:9" x14ac:dyDescent="0.25">
      <c r="A903" s="204" t="s">
        <v>955</v>
      </c>
      <c r="B903" s="9" t="str">
        <f t="shared" si="28"/>
        <v>18680162</v>
      </c>
      <c r="C903" s="9" t="str">
        <f>VLOOKUP(B903,COA!A:B,2,FALSE)</f>
        <v>Reg Asset- Closing Costs</v>
      </c>
      <c r="D903" s="338" t="str">
        <f t="shared" si="27"/>
        <v>C1862</v>
      </c>
      <c r="E903" s="338" t="s">
        <v>6885</v>
      </c>
      <c r="G903" s="338">
        <v>0</v>
      </c>
      <c r="H903" s="204" t="s">
        <v>77</v>
      </c>
      <c r="I903" s="204" t="s">
        <v>7394</v>
      </c>
    </row>
    <row r="904" spans="1:9" x14ac:dyDescent="0.25">
      <c r="A904" s="204" t="s">
        <v>956</v>
      </c>
      <c r="B904" s="9" t="str">
        <f t="shared" si="28"/>
        <v>18680163</v>
      </c>
      <c r="C904" s="9" t="str">
        <f>VLOOKUP(B904,COA!A:B,2,FALSE)</f>
        <v>Reg Asset - DSIC Surcharge</v>
      </c>
      <c r="D904" s="338" t="str">
        <f t="shared" si="27"/>
        <v>C1862</v>
      </c>
      <c r="E904" s="338" t="s">
        <v>6885</v>
      </c>
      <c r="G904" s="338">
        <v>0</v>
      </c>
      <c r="H904" s="204" t="s">
        <v>77</v>
      </c>
      <c r="I904" s="204" t="s">
        <v>7394</v>
      </c>
    </row>
    <row r="905" spans="1:9" x14ac:dyDescent="0.25">
      <c r="A905" s="204" t="s">
        <v>957</v>
      </c>
      <c r="B905" s="9" t="str">
        <f t="shared" si="28"/>
        <v>18680164</v>
      </c>
      <c r="C905" s="9" t="str">
        <f>VLOOKUP(B905,COA!A:B,2,FALSE)</f>
        <v>Reg Asset - Low Income Program Costs</v>
      </c>
      <c r="D905" s="338" t="str">
        <f t="shared" si="27"/>
        <v>C1862</v>
      </c>
      <c r="E905" s="338" t="s">
        <v>6885</v>
      </c>
      <c r="G905" s="338">
        <v>0</v>
      </c>
      <c r="H905" s="204" t="s">
        <v>77</v>
      </c>
      <c r="I905" s="204" t="s">
        <v>7394</v>
      </c>
    </row>
    <row r="906" spans="1:9" x14ac:dyDescent="0.25">
      <c r="A906" s="204" t="s">
        <v>958</v>
      </c>
      <c r="B906" s="9" t="str">
        <f t="shared" si="28"/>
        <v>18680165</v>
      </c>
      <c r="C906" s="9" t="str">
        <f>VLOOKUP(B906,COA!A:B,2,FALSE)</f>
        <v>Reg Asset - Interim Rates</v>
      </c>
      <c r="D906" s="338" t="str">
        <f t="shared" si="27"/>
        <v>C1862</v>
      </c>
      <c r="E906" s="338" t="s">
        <v>6885</v>
      </c>
      <c r="G906" s="338">
        <v>0</v>
      </c>
      <c r="H906" s="204" t="s">
        <v>77</v>
      </c>
      <c r="I906" s="204" t="s">
        <v>7394</v>
      </c>
    </row>
    <row r="907" spans="1:9" x14ac:dyDescent="0.25">
      <c r="A907" s="204" t="s">
        <v>959</v>
      </c>
      <c r="B907" s="9" t="str">
        <f t="shared" si="28"/>
        <v>18680166</v>
      </c>
      <c r="C907" s="9" t="str">
        <f>VLOOKUP(B907,COA!A:B,2,FALSE)</f>
        <v>Reg Asset - Water Revenue Adjustment Mechanism</v>
      </c>
      <c r="D907" s="338" t="str">
        <f t="shared" ref="D907:D970" si="29">+I907</f>
        <v>C1862</v>
      </c>
      <c r="E907" s="338" t="s">
        <v>6885</v>
      </c>
      <c r="G907" s="338">
        <v>0</v>
      </c>
      <c r="H907" s="204" t="s">
        <v>77</v>
      </c>
      <c r="I907" s="204" t="s">
        <v>7394</v>
      </c>
    </row>
    <row r="908" spans="1:9" x14ac:dyDescent="0.25">
      <c r="A908" s="204" t="s">
        <v>960</v>
      </c>
      <c r="B908" s="9" t="str">
        <f t="shared" si="28"/>
        <v>18680167</v>
      </c>
      <c r="C908" s="9" t="str">
        <f>VLOOKUP(B908,COA!A:B,2,FALSE)</f>
        <v>Reg Asset - San Clemente Dam AFUDC</v>
      </c>
      <c r="D908" s="338" t="str">
        <f t="shared" si="29"/>
        <v>C1862</v>
      </c>
      <c r="E908" s="338" t="s">
        <v>6885</v>
      </c>
      <c r="G908" s="338">
        <v>0</v>
      </c>
      <c r="H908" s="204" t="s">
        <v>77</v>
      </c>
      <c r="I908" s="204" t="s">
        <v>7394</v>
      </c>
    </row>
    <row r="909" spans="1:9" x14ac:dyDescent="0.25">
      <c r="A909" s="204" t="s">
        <v>961</v>
      </c>
      <c r="B909" s="9" t="str">
        <f t="shared" si="28"/>
        <v>18680168</v>
      </c>
      <c r="C909" s="9" t="str">
        <f>VLOOKUP(B909,COA!A:B,2,FALSE)</f>
        <v>Reg Asset - Conservation Surcharge</v>
      </c>
      <c r="D909" s="338" t="str">
        <f t="shared" si="29"/>
        <v>C1862</v>
      </c>
      <c r="E909" s="338" t="s">
        <v>6885</v>
      </c>
      <c r="G909" s="338">
        <v>0</v>
      </c>
      <c r="H909" s="204" t="s">
        <v>77</v>
      </c>
      <c r="I909" s="204" t="s">
        <v>7394</v>
      </c>
    </row>
    <row r="910" spans="1:9" x14ac:dyDescent="0.25">
      <c r="A910" s="204" t="s">
        <v>962</v>
      </c>
      <c r="B910" s="9" t="str">
        <f t="shared" si="28"/>
        <v>18680169</v>
      </c>
      <c r="C910" s="9" t="str">
        <f>VLOOKUP(B910,COA!A:B,2,FALSE)</f>
        <v>Reg Asset - Engineering Study</v>
      </c>
      <c r="D910" s="338" t="str">
        <f t="shared" si="29"/>
        <v>C1862</v>
      </c>
      <c r="E910" s="338" t="s">
        <v>6885</v>
      </c>
      <c r="G910" s="338">
        <v>0</v>
      </c>
      <c r="H910" s="204" t="s">
        <v>77</v>
      </c>
      <c r="I910" s="204" t="s">
        <v>7394</v>
      </c>
    </row>
    <row r="911" spans="1:9" x14ac:dyDescent="0.25">
      <c r="A911" s="204" t="s">
        <v>963</v>
      </c>
      <c r="B911" s="9" t="str">
        <f t="shared" si="28"/>
        <v>18680170</v>
      </c>
      <c r="C911" s="9" t="str">
        <f>VLOOKUP(B911,COA!A:B,2,FALSE)</f>
        <v>Reg Asset - San Clemente Dam Removal Costs</v>
      </c>
      <c r="D911" s="338" t="str">
        <f t="shared" si="29"/>
        <v>C1862</v>
      </c>
      <c r="E911" s="338" t="s">
        <v>6885</v>
      </c>
      <c r="G911" s="338">
        <v>0</v>
      </c>
      <c r="H911" s="204" t="s">
        <v>77</v>
      </c>
      <c r="I911" s="204" t="s">
        <v>7394</v>
      </c>
    </row>
    <row r="912" spans="1:9" x14ac:dyDescent="0.25">
      <c r="A912" s="204" t="s">
        <v>964</v>
      </c>
      <c r="B912" s="9" t="str">
        <f t="shared" si="28"/>
        <v>18680171</v>
      </c>
      <c r="C912" s="9" t="str">
        <f>VLOOKUP(B912,COA!A:B,2,FALSE)</f>
        <v>Sand City Desal Plant Pur Wtr Bal Acct</v>
      </c>
      <c r="D912" s="338" t="str">
        <f t="shared" si="29"/>
        <v>C1862</v>
      </c>
      <c r="E912" s="338" t="s">
        <v>6885</v>
      </c>
      <c r="G912" s="338">
        <v>0</v>
      </c>
      <c r="H912" s="204" t="s">
        <v>77</v>
      </c>
      <c r="I912" s="204" t="s">
        <v>7394</v>
      </c>
    </row>
    <row r="913" spans="1:9" x14ac:dyDescent="0.25">
      <c r="A913" s="204" t="s">
        <v>965</v>
      </c>
      <c r="B913" s="9" t="str">
        <f t="shared" si="28"/>
        <v>18680172</v>
      </c>
      <c r="C913" s="9" t="str">
        <f>VLOOKUP(B913,COA!A:B,2,FALSE)</f>
        <v>Reg Asset -Leak Adjustments</v>
      </c>
      <c r="D913" s="338" t="str">
        <f t="shared" si="29"/>
        <v>C1862</v>
      </c>
      <c r="E913" s="338" t="s">
        <v>6885</v>
      </c>
      <c r="G913" s="338">
        <v>0</v>
      </c>
      <c r="H913" s="204" t="s">
        <v>77</v>
      </c>
      <c r="I913" s="204" t="s">
        <v>7394</v>
      </c>
    </row>
    <row r="914" spans="1:9" x14ac:dyDescent="0.25">
      <c r="A914" s="204" t="s">
        <v>966</v>
      </c>
      <c r="B914" s="9" t="str">
        <f t="shared" si="28"/>
        <v>18680191</v>
      </c>
      <c r="C914" s="9" t="str">
        <f>VLOOKUP(B914,COA!A:B,2,FALSE)</f>
        <v>Reg Asset - PSTAC Balancing Account</v>
      </c>
      <c r="D914" s="338" t="str">
        <f t="shared" si="29"/>
        <v>C1862</v>
      </c>
      <c r="E914" s="338" t="s">
        <v>6885</v>
      </c>
      <c r="G914" s="338">
        <v>0</v>
      </c>
      <c r="H914" s="204" t="s">
        <v>77</v>
      </c>
      <c r="I914" s="204" t="s">
        <v>7394</v>
      </c>
    </row>
    <row r="915" spans="1:9" x14ac:dyDescent="0.25">
      <c r="A915" s="204" t="s">
        <v>967</v>
      </c>
      <c r="B915" s="9" t="str">
        <f t="shared" si="28"/>
        <v>18680192</v>
      </c>
      <c r="C915" s="9" t="str">
        <f>VLOOKUP(B915,COA!A:B,2,FALSE)</f>
        <v>Reg Asset - Additional Security Costs</v>
      </c>
      <c r="D915" s="338" t="str">
        <f t="shared" si="29"/>
        <v>C1862</v>
      </c>
      <c r="E915" s="338" t="s">
        <v>6885</v>
      </c>
      <c r="G915" s="338">
        <v>0</v>
      </c>
      <c r="H915" s="204" t="s">
        <v>77</v>
      </c>
      <c r="I915" s="204" t="s">
        <v>7394</v>
      </c>
    </row>
    <row r="916" spans="1:9" x14ac:dyDescent="0.25">
      <c r="A916" s="204" t="s">
        <v>968</v>
      </c>
      <c r="B916" s="9" t="str">
        <f t="shared" si="28"/>
        <v>18680194</v>
      </c>
      <c r="C916" s="9" t="str">
        <f>VLOOKUP(B916,COA!A:B,2,FALSE)</f>
        <v>Reg Asset - Conservation Balancing Acct</v>
      </c>
      <c r="D916" s="338" t="str">
        <f t="shared" si="29"/>
        <v>C1862</v>
      </c>
      <c r="E916" s="338" t="s">
        <v>6885</v>
      </c>
      <c r="G916" s="338">
        <v>0</v>
      </c>
      <c r="H916" s="204" t="s">
        <v>77</v>
      </c>
      <c r="I916" s="204" t="s">
        <v>7394</v>
      </c>
    </row>
    <row r="917" spans="1:9" x14ac:dyDescent="0.25">
      <c r="A917" s="204" t="s">
        <v>969</v>
      </c>
      <c r="B917" s="9" t="str">
        <f t="shared" si="28"/>
        <v>18680195</v>
      </c>
      <c r="C917" s="9" t="str">
        <f>VLOOKUP(B917,COA!A:B,2,FALSE)</f>
        <v>Reg Asset - Purch Power &amp; Water Balancing Acct</v>
      </c>
      <c r="D917" s="338" t="str">
        <f t="shared" si="29"/>
        <v>C1862</v>
      </c>
      <c r="E917" s="338" t="s">
        <v>6885</v>
      </c>
      <c r="G917" s="338">
        <v>0</v>
      </c>
      <c r="H917" s="204" t="s">
        <v>77</v>
      </c>
      <c r="I917" s="204" t="s">
        <v>7394</v>
      </c>
    </row>
    <row r="918" spans="1:9" x14ac:dyDescent="0.25">
      <c r="A918" s="204" t="s">
        <v>970</v>
      </c>
      <c r="B918" s="9" t="str">
        <f t="shared" si="28"/>
        <v>18680196</v>
      </c>
      <c r="C918" s="9" t="str">
        <f>VLOOKUP(B918,COA!A:B,2,FALSE)</f>
        <v>Reg Asset - Carmel River Dam</v>
      </c>
      <c r="D918" s="338" t="str">
        <f t="shared" si="29"/>
        <v>C1862</v>
      </c>
      <c r="E918" s="338" t="s">
        <v>6885</v>
      </c>
      <c r="G918" s="338">
        <v>0</v>
      </c>
      <c r="H918" s="204" t="s">
        <v>77</v>
      </c>
      <c r="I918" s="204" t="s">
        <v>7394</v>
      </c>
    </row>
    <row r="919" spans="1:9" x14ac:dyDescent="0.25">
      <c r="A919" s="204" t="s">
        <v>971</v>
      </c>
      <c r="B919" s="9" t="str">
        <f t="shared" si="28"/>
        <v>18680197</v>
      </c>
      <c r="C919" s="9" t="str">
        <f>VLOOKUP(B919,COA!A:B,2,FALSE)</f>
        <v>Reg Asset - Coastal Water Project Surcharge</v>
      </c>
      <c r="D919" s="338" t="str">
        <f t="shared" si="29"/>
        <v>C1862</v>
      </c>
      <c r="E919" s="338" t="s">
        <v>6885</v>
      </c>
      <c r="G919" s="338">
        <v>0</v>
      </c>
      <c r="H919" s="204" t="s">
        <v>77</v>
      </c>
      <c r="I919" s="204" t="s">
        <v>7394</v>
      </c>
    </row>
    <row r="920" spans="1:9" x14ac:dyDescent="0.25">
      <c r="A920" s="204" t="s">
        <v>972</v>
      </c>
      <c r="B920" s="9" t="str">
        <f t="shared" si="28"/>
        <v>18680198</v>
      </c>
      <c r="C920" s="9" t="str">
        <f>VLOOKUP(B920,COA!A:B,2,FALSE)</f>
        <v>Reg Asset - Seaside GW Basin</v>
      </c>
      <c r="D920" s="338" t="str">
        <f t="shared" si="29"/>
        <v>C1862</v>
      </c>
      <c r="E920" s="338" t="s">
        <v>6885</v>
      </c>
      <c r="G920" s="338">
        <v>0</v>
      </c>
      <c r="H920" s="204" t="s">
        <v>77</v>
      </c>
      <c r="I920" s="204" t="s">
        <v>7394</v>
      </c>
    </row>
    <row r="921" spans="1:9" x14ac:dyDescent="0.25">
      <c r="A921" s="204" t="s">
        <v>973</v>
      </c>
      <c r="B921" s="9" t="str">
        <f t="shared" si="28"/>
        <v>18680199</v>
      </c>
      <c r="C921" s="9" t="str">
        <f>VLOOKUP(B921,COA!A:B,2,FALSE)</f>
        <v>Reg Asset - Endangered Species Act</v>
      </c>
      <c r="D921" s="338" t="str">
        <f t="shared" si="29"/>
        <v>C1862</v>
      </c>
      <c r="E921" s="338" t="s">
        <v>6885</v>
      </c>
      <c r="G921" s="338">
        <v>0</v>
      </c>
      <c r="H921" s="204" t="s">
        <v>77</v>
      </c>
      <c r="I921" s="204" t="s">
        <v>7394</v>
      </c>
    </row>
    <row r="922" spans="1:9" x14ac:dyDescent="0.25">
      <c r="A922" s="204" t="s">
        <v>974</v>
      </c>
      <c r="B922" s="9" t="str">
        <f t="shared" si="28"/>
        <v>18680200</v>
      </c>
      <c r="C922" s="9" t="str">
        <f>VLOOKUP(B922,COA!A:B,2,FALSE)</f>
        <v>Reg Asset - Authorized Balancing Account</v>
      </c>
      <c r="D922" s="338" t="str">
        <f t="shared" si="29"/>
        <v>C1862</v>
      </c>
      <c r="E922" s="338" t="s">
        <v>6885</v>
      </c>
      <c r="G922" s="338">
        <v>0</v>
      </c>
      <c r="H922" s="204" t="s">
        <v>77</v>
      </c>
      <c r="I922" s="204" t="s">
        <v>7394</v>
      </c>
    </row>
    <row r="923" spans="1:9" x14ac:dyDescent="0.25">
      <c r="A923" s="204" t="s">
        <v>975</v>
      </c>
      <c r="B923" s="9" t="str">
        <f t="shared" si="28"/>
        <v>18680210</v>
      </c>
      <c r="C923" s="9" t="str">
        <f>VLOOKUP(B923,COA!A:B,2,FALSE)</f>
        <v>Reg Asset - Water Action Plan - Memo Acct</v>
      </c>
      <c r="D923" s="338" t="str">
        <f t="shared" si="29"/>
        <v>C1862</v>
      </c>
      <c r="E923" s="338" t="s">
        <v>6885</v>
      </c>
      <c r="G923" s="338">
        <v>0</v>
      </c>
      <c r="H923" s="204" t="s">
        <v>77</v>
      </c>
      <c r="I923" s="204" t="s">
        <v>7394</v>
      </c>
    </row>
    <row r="924" spans="1:9" x14ac:dyDescent="0.25">
      <c r="A924" s="204" t="s">
        <v>976</v>
      </c>
      <c r="B924" s="9" t="str">
        <f t="shared" si="28"/>
        <v>18680211</v>
      </c>
      <c r="C924" s="9" t="str">
        <f>VLOOKUP(B924,COA!A:B,2,FALSE)</f>
        <v>Reg Asset - Conservation/Rationing</v>
      </c>
      <c r="D924" s="338" t="str">
        <f t="shared" si="29"/>
        <v>C1862</v>
      </c>
      <c r="E924" s="338" t="s">
        <v>6885</v>
      </c>
      <c r="G924" s="338">
        <v>0</v>
      </c>
      <c r="H924" s="204" t="s">
        <v>77</v>
      </c>
      <c r="I924" s="204" t="s">
        <v>7394</v>
      </c>
    </row>
    <row r="925" spans="1:9" x14ac:dyDescent="0.25">
      <c r="A925" s="204" t="s">
        <v>977</v>
      </c>
      <c r="B925" s="9" t="str">
        <f t="shared" si="28"/>
        <v>18680216</v>
      </c>
      <c r="C925" s="9" t="str">
        <f>VLOOKUP(B925,COA!A:B,2,FALSE)</f>
        <v>Reg Asset - Comprehensive Tax Study</v>
      </c>
      <c r="D925" s="338" t="str">
        <f t="shared" si="29"/>
        <v>C1862</v>
      </c>
      <c r="E925" s="338" t="s">
        <v>6885</v>
      </c>
      <c r="G925" s="338">
        <v>0</v>
      </c>
      <c r="H925" s="204" t="s">
        <v>77</v>
      </c>
      <c r="I925" s="204" t="s">
        <v>7394</v>
      </c>
    </row>
    <row r="926" spans="1:9" x14ac:dyDescent="0.25">
      <c r="A926" s="204" t="s">
        <v>978</v>
      </c>
      <c r="B926" s="9" t="str">
        <f t="shared" si="28"/>
        <v>18680218</v>
      </c>
      <c r="C926" s="9" t="str">
        <f>VLOOKUP(B926,COA!A:B,2,FALSE)</f>
        <v>Regulatory Asset - "Make-Whole Premium"</v>
      </c>
      <c r="D926" s="338" t="str">
        <f t="shared" si="29"/>
        <v>C1862</v>
      </c>
      <c r="E926" s="338" t="s">
        <v>6885</v>
      </c>
      <c r="G926" s="338">
        <v>0</v>
      </c>
      <c r="H926" s="204" t="s">
        <v>77</v>
      </c>
      <c r="I926" s="204" t="s">
        <v>7394</v>
      </c>
    </row>
    <row r="927" spans="1:9" x14ac:dyDescent="0.25">
      <c r="A927" s="204" t="s">
        <v>979</v>
      </c>
      <c r="B927" s="9" t="str">
        <f t="shared" si="28"/>
        <v>18680223</v>
      </c>
      <c r="C927" s="9" t="str">
        <f>VLOOKUP(B927,COA!A:B,2,FALSE)</f>
        <v>Reg Asset - Credit Card Pilot Program Memo Account</v>
      </c>
      <c r="D927" s="338" t="str">
        <f t="shared" si="29"/>
        <v>C1862</v>
      </c>
      <c r="E927" s="338" t="s">
        <v>6885</v>
      </c>
      <c r="G927" s="338">
        <v>0</v>
      </c>
      <c r="H927" s="204" t="s">
        <v>77</v>
      </c>
      <c r="I927" s="204" t="s">
        <v>7394</v>
      </c>
    </row>
    <row r="928" spans="1:9" x14ac:dyDescent="0.25">
      <c r="A928" s="204" t="s">
        <v>980</v>
      </c>
      <c r="B928" s="9" t="str">
        <f t="shared" si="28"/>
        <v>18680224</v>
      </c>
      <c r="C928" s="9" t="str">
        <f>VLOOKUP(B928,COA!A:B,2,FALSE)</f>
        <v>Group Insurance Balancing Account</v>
      </c>
      <c r="D928" s="338" t="str">
        <f t="shared" si="29"/>
        <v>C1862</v>
      </c>
      <c r="E928" s="338" t="s">
        <v>6885</v>
      </c>
      <c r="G928" s="338">
        <v>0</v>
      </c>
      <c r="H928" s="204" t="s">
        <v>77</v>
      </c>
      <c r="I928" s="204" t="s">
        <v>7394</v>
      </c>
    </row>
    <row r="929" spans="1:9" x14ac:dyDescent="0.25">
      <c r="A929" s="204" t="s">
        <v>7399</v>
      </c>
      <c r="B929" s="9" t="str">
        <f t="shared" si="28"/>
        <v>18680226</v>
      </c>
      <c r="C929" s="9" t="str">
        <f>VLOOKUP(B929,COA!A:B,2,FALSE)</f>
        <v>Geyserville Acquisition Special Facilities Fees</v>
      </c>
      <c r="D929" s="338" t="str">
        <f t="shared" si="29"/>
        <v>C1862</v>
      </c>
      <c r="E929" s="338" t="s">
        <v>6932</v>
      </c>
      <c r="F929" s="338" t="e">
        <v>#N/A</v>
      </c>
      <c r="G929" s="338" t="e">
        <v>#N/A</v>
      </c>
      <c r="H929" s="204" t="s">
        <v>77</v>
      </c>
      <c r="I929" s="204" t="s">
        <v>7394</v>
      </c>
    </row>
    <row r="930" spans="1:9" x14ac:dyDescent="0.25">
      <c r="A930" s="204" t="s">
        <v>981</v>
      </c>
      <c r="B930" s="9" t="str">
        <f t="shared" si="28"/>
        <v>18680295</v>
      </c>
      <c r="C930" s="9" t="str">
        <f>VLOOKUP(B930,COA!A:B,2,FALSE)</f>
        <v>Reg Asset - EITF</v>
      </c>
      <c r="D930" s="338" t="str">
        <f t="shared" si="29"/>
        <v>C1862</v>
      </c>
      <c r="E930" s="338" t="s">
        <v>6885</v>
      </c>
      <c r="G930" s="338">
        <v>0</v>
      </c>
      <c r="H930" s="204" t="s">
        <v>77</v>
      </c>
      <c r="I930" s="204" t="s">
        <v>7394</v>
      </c>
    </row>
    <row r="931" spans="1:9" x14ac:dyDescent="0.25">
      <c r="A931" s="204" t="s">
        <v>982</v>
      </c>
      <c r="B931" s="9" t="str">
        <f t="shared" si="28"/>
        <v>18680333</v>
      </c>
      <c r="C931" s="9" t="str">
        <f>VLOOKUP(B931,COA!A:B,2,FALSE)</f>
        <v>Reg Asset - Cust Lead Svc Line Replacements</v>
      </c>
      <c r="D931" s="338" t="str">
        <f t="shared" si="29"/>
        <v>C1862</v>
      </c>
      <c r="E931" s="338" t="s">
        <v>6885</v>
      </c>
      <c r="G931" s="338">
        <v>0</v>
      </c>
      <c r="H931" s="204" t="s">
        <v>77</v>
      </c>
      <c r="I931" s="204" t="s">
        <v>7394</v>
      </c>
    </row>
    <row r="932" spans="1:9" x14ac:dyDescent="0.25">
      <c r="A932" s="204" t="s">
        <v>983</v>
      </c>
      <c r="B932" s="9" t="str">
        <f t="shared" si="28"/>
        <v>18680395</v>
      </c>
      <c r="C932" s="9" t="str">
        <f>VLOOKUP(B932,COA!A:B,2,FALSE)</f>
        <v>Reg Asset - Sacrament VCMRRAMA</v>
      </c>
      <c r="D932" s="338" t="str">
        <f t="shared" si="29"/>
        <v>C1862</v>
      </c>
      <c r="E932" s="338" t="s">
        <v>6885</v>
      </c>
      <c r="G932" s="338">
        <v>0</v>
      </c>
      <c r="H932" s="204" t="s">
        <v>77</v>
      </c>
      <c r="I932" s="204" t="s">
        <v>7394</v>
      </c>
    </row>
    <row r="933" spans="1:9" x14ac:dyDescent="0.25">
      <c r="A933" s="204" t="s">
        <v>984</v>
      </c>
      <c r="B933" s="9" t="str">
        <f t="shared" si="28"/>
        <v>18689900</v>
      </c>
      <c r="C933" s="9" t="str">
        <f>VLOOKUP(B933,COA!A:B,2,FALSE)</f>
        <v>Reg Asset - Other</v>
      </c>
      <c r="D933" s="338" t="str">
        <f t="shared" si="29"/>
        <v>C1862</v>
      </c>
      <c r="E933" s="338" t="s">
        <v>6885</v>
      </c>
      <c r="G933" s="338">
        <v>0</v>
      </c>
      <c r="H933" s="204" t="s">
        <v>77</v>
      </c>
      <c r="I933" s="204" t="s">
        <v>7394</v>
      </c>
    </row>
    <row r="934" spans="1:9" x14ac:dyDescent="0.25">
      <c r="A934" s="204" t="s">
        <v>985</v>
      </c>
      <c r="B934" s="9" t="str">
        <f t="shared" si="28"/>
        <v>18711000</v>
      </c>
      <c r="C934" s="9" t="str">
        <f>VLOOKUP(B934,COA!A:B,2,FALSE)</f>
        <v>LT Asset - Preliminary Financing Exp</v>
      </c>
      <c r="D934" s="338" t="str">
        <f t="shared" si="29"/>
        <v>C1862</v>
      </c>
      <c r="E934" s="338" t="s">
        <v>6885</v>
      </c>
      <c r="G934" s="338">
        <v>0</v>
      </c>
      <c r="H934" s="204" t="s">
        <v>77</v>
      </c>
      <c r="I934" s="204" t="s">
        <v>7394</v>
      </c>
    </row>
    <row r="935" spans="1:9" x14ac:dyDescent="0.25">
      <c r="A935" s="204" t="s">
        <v>986</v>
      </c>
      <c r="B935" s="9" t="str">
        <f t="shared" si="28"/>
        <v>18712000</v>
      </c>
      <c r="C935" s="9" t="str">
        <f>VLOOKUP(B935,COA!A:B,2,FALSE)</f>
        <v>LT Asset - SERP Trust</v>
      </c>
      <c r="D935" s="338" t="str">
        <f t="shared" si="29"/>
        <v>C1862</v>
      </c>
      <c r="E935" s="338" t="s">
        <v>6885</v>
      </c>
      <c r="G935" s="338">
        <v>0</v>
      </c>
      <c r="H935" s="204" t="s">
        <v>77</v>
      </c>
      <c r="I935" s="204" t="s">
        <v>7394</v>
      </c>
    </row>
    <row r="936" spans="1:9" x14ac:dyDescent="0.25">
      <c r="A936" s="204" t="s">
        <v>987</v>
      </c>
      <c r="B936" s="9" t="str">
        <f t="shared" si="28"/>
        <v>18712500</v>
      </c>
      <c r="C936" s="9" t="str">
        <f>VLOOKUP(B936,COA!A:B,2,FALSE)</f>
        <v>LT Asset - Deferred Comp Trust</v>
      </c>
      <c r="D936" s="338" t="str">
        <f t="shared" si="29"/>
        <v>C1862</v>
      </c>
      <c r="E936" s="338" t="s">
        <v>6885</v>
      </c>
      <c r="G936" s="338">
        <v>0</v>
      </c>
      <c r="H936" s="204" t="s">
        <v>77</v>
      </c>
      <c r="I936" s="204" t="s">
        <v>7394</v>
      </c>
    </row>
    <row r="937" spans="1:9" x14ac:dyDescent="0.25">
      <c r="A937" s="204" t="s">
        <v>988</v>
      </c>
      <c r="B937" s="9" t="str">
        <f t="shared" si="28"/>
        <v>18713000</v>
      </c>
      <c r="C937" s="9" t="str">
        <f>VLOOKUP(B937,COA!A:B,2,FALSE)</f>
        <v>LT Asset - Prelim Survey &amp; Investigation</v>
      </c>
      <c r="D937" s="338" t="str">
        <f t="shared" si="29"/>
        <v>C183</v>
      </c>
      <c r="E937" s="338" t="s">
        <v>6885</v>
      </c>
      <c r="G937" s="338">
        <v>0</v>
      </c>
      <c r="H937" s="204" t="s">
        <v>77</v>
      </c>
      <c r="I937" s="204" t="s">
        <v>7398</v>
      </c>
    </row>
    <row r="938" spans="1:9" x14ac:dyDescent="0.25">
      <c r="A938" s="204" t="s">
        <v>989</v>
      </c>
      <c r="B938" s="9" t="str">
        <f t="shared" si="28"/>
        <v>18714200</v>
      </c>
      <c r="C938" s="9" t="str">
        <f>VLOOKUP(B938,COA!A:B,2,FALSE)</f>
        <v>Income Tax Receivable - Federal - Long Term</v>
      </c>
      <c r="D938" s="338" t="str">
        <f t="shared" si="29"/>
        <v>C183</v>
      </c>
      <c r="E938" s="338" t="s">
        <v>6885</v>
      </c>
      <c r="G938" s="338">
        <v>0</v>
      </c>
      <c r="H938" s="204" t="s">
        <v>77</v>
      </c>
      <c r="I938" s="204" t="s">
        <v>7398</v>
      </c>
    </row>
    <row r="939" spans="1:9" x14ac:dyDescent="0.25">
      <c r="A939" s="204" t="s">
        <v>990</v>
      </c>
      <c r="B939" s="9" t="str">
        <f t="shared" si="28"/>
        <v>18714300</v>
      </c>
      <c r="C939" s="9" t="str">
        <f>VLOOKUP(B939,COA!A:B,2,FALSE)</f>
        <v>Income Tax Receivable - State - Long Term</v>
      </c>
      <c r="D939" s="338" t="str">
        <f t="shared" si="29"/>
        <v>C183</v>
      </c>
      <c r="E939" s="338" t="s">
        <v>6885</v>
      </c>
      <c r="G939" s="338">
        <v>0</v>
      </c>
      <c r="H939" s="204" t="s">
        <v>77</v>
      </c>
      <c r="I939" s="204" t="s">
        <v>7398</v>
      </c>
    </row>
    <row r="940" spans="1:9" x14ac:dyDescent="0.25">
      <c r="A940" s="204" t="s">
        <v>991</v>
      </c>
      <c r="B940" s="9" t="str">
        <f t="shared" si="28"/>
        <v>18715000</v>
      </c>
      <c r="C940" s="9" t="str">
        <f>VLOOKUP(B940,COA!A:B,2,FALSE)</f>
        <v>LT Asset - Unamortized Debt Exp Non-Reg</v>
      </c>
      <c r="D940" s="338" t="str">
        <f t="shared" si="29"/>
        <v>C181</v>
      </c>
      <c r="E940" s="338" t="s">
        <v>6885</v>
      </c>
      <c r="G940" s="338">
        <v>0</v>
      </c>
      <c r="H940" s="204" t="s">
        <v>77</v>
      </c>
      <c r="I940" s="204" t="s">
        <v>7397</v>
      </c>
    </row>
    <row r="941" spans="1:9" x14ac:dyDescent="0.25">
      <c r="A941" s="204" t="s">
        <v>992</v>
      </c>
      <c r="B941" s="9" t="str">
        <f t="shared" si="28"/>
        <v>18715500</v>
      </c>
      <c r="C941" s="9" t="str">
        <f>VLOOKUP(B941,COA!A:B,2,FALSE)</f>
        <v>LT Asset - Unamort Debt Exp Non-Reg Interco</v>
      </c>
      <c r="D941" s="338" t="str">
        <f t="shared" si="29"/>
        <v>C181</v>
      </c>
      <c r="E941" s="338" t="s">
        <v>6885</v>
      </c>
      <c r="G941" s="338">
        <v>0</v>
      </c>
      <c r="H941" s="204" t="s">
        <v>77</v>
      </c>
      <c r="I941" s="204" t="s">
        <v>7397</v>
      </c>
    </row>
    <row r="942" spans="1:9" x14ac:dyDescent="0.25">
      <c r="A942" s="204" t="s">
        <v>993</v>
      </c>
      <c r="B942" s="9" t="str">
        <f t="shared" si="28"/>
        <v>18715700</v>
      </c>
      <c r="C942" s="9" t="str">
        <f>VLOOKUP(B942,COA!A:B,2,FALSE)</f>
        <v>LT Asset - Unamort Debt In - Revolver</v>
      </c>
      <c r="D942" s="338" t="str">
        <f t="shared" si="29"/>
        <v>C181</v>
      </c>
      <c r="E942" s="338" t="s">
        <v>6885</v>
      </c>
      <c r="G942" s="338">
        <v>0</v>
      </c>
      <c r="H942" s="204" t="s">
        <v>77</v>
      </c>
      <c r="I942" s="204" t="s">
        <v>7397</v>
      </c>
    </row>
    <row r="943" spans="1:9" x14ac:dyDescent="0.25">
      <c r="A943" s="204" t="s">
        <v>994</v>
      </c>
      <c r="B943" s="9" t="str">
        <f t="shared" si="28"/>
        <v>18717000</v>
      </c>
      <c r="C943" s="9" t="str">
        <f>VLOOKUP(B943,COA!A:B,2,FALSE)</f>
        <v>LT Asset - Deferred Transaction Costs</v>
      </c>
      <c r="D943" s="338" t="str">
        <f t="shared" si="29"/>
        <v>C1862</v>
      </c>
      <c r="E943" s="338" t="s">
        <v>6885</v>
      </c>
      <c r="G943" s="338">
        <v>0</v>
      </c>
      <c r="H943" s="204" t="s">
        <v>77</v>
      </c>
      <c r="I943" s="204" t="s">
        <v>7394</v>
      </c>
    </row>
    <row r="944" spans="1:9" x14ac:dyDescent="0.25">
      <c r="A944" s="204" t="s">
        <v>995</v>
      </c>
      <c r="B944" s="9" t="str">
        <f t="shared" si="28"/>
        <v>18720000</v>
      </c>
      <c r="C944" s="9" t="str">
        <f>VLOOKUP(B944,COA!A:B,2,FALSE)</f>
        <v>LT Asset - Swap Contract</v>
      </c>
      <c r="D944" s="338" t="str">
        <f t="shared" si="29"/>
        <v>C1862</v>
      </c>
      <c r="E944" s="338" t="s">
        <v>6885</v>
      </c>
      <c r="G944" s="338">
        <v>0</v>
      </c>
      <c r="H944" s="204" t="s">
        <v>77</v>
      </c>
      <c r="I944" s="204" t="s">
        <v>7394</v>
      </c>
    </row>
    <row r="945" spans="1:9" x14ac:dyDescent="0.25">
      <c r="A945" s="204" t="s">
        <v>996</v>
      </c>
      <c r="B945" s="9" t="str">
        <f t="shared" si="28"/>
        <v>18740000</v>
      </c>
      <c r="C945" s="9" t="str">
        <f>VLOOKUP(B945,COA!A:B,2,FALSE)</f>
        <v>LT Asset - Receivable</v>
      </c>
      <c r="D945" s="338" t="str">
        <f t="shared" si="29"/>
        <v>C1862</v>
      </c>
      <c r="E945" s="338" t="s">
        <v>6885</v>
      </c>
      <c r="G945" s="338">
        <v>0</v>
      </c>
      <c r="H945" s="204" t="s">
        <v>77</v>
      </c>
      <c r="I945" s="204" t="s">
        <v>7394</v>
      </c>
    </row>
    <row r="946" spans="1:9" x14ac:dyDescent="0.25">
      <c r="A946" s="204" t="s">
        <v>997</v>
      </c>
      <c r="B946" s="9" t="str">
        <f t="shared" si="28"/>
        <v>18741000</v>
      </c>
      <c r="C946" s="9" t="str">
        <f>VLOOKUP(B946,COA!A:B,2,FALSE)</f>
        <v>LT Asset - Intercompany Notes</v>
      </c>
      <c r="D946" s="338" t="str">
        <f t="shared" si="29"/>
        <v>C1862</v>
      </c>
      <c r="E946" s="338" t="s">
        <v>6885</v>
      </c>
      <c r="G946" s="338">
        <v>0</v>
      </c>
      <c r="H946" s="204" t="s">
        <v>77</v>
      </c>
      <c r="I946" s="204" t="s">
        <v>7394</v>
      </c>
    </row>
    <row r="947" spans="1:9" x14ac:dyDescent="0.25">
      <c r="A947" s="204" t="s">
        <v>998</v>
      </c>
      <c r="B947" s="9" t="str">
        <f t="shared" si="28"/>
        <v>18742000</v>
      </c>
      <c r="C947" s="9" t="str">
        <f>VLOOKUP(B947,COA!A:B,2,FALSE)</f>
        <v>LT Asset - Intercompany Capital Lease</v>
      </c>
      <c r="D947" s="338" t="str">
        <f t="shared" si="29"/>
        <v>C1862</v>
      </c>
      <c r="E947" s="338" t="s">
        <v>6885</v>
      </c>
      <c r="G947" s="338">
        <v>0</v>
      </c>
      <c r="H947" s="204" t="s">
        <v>77</v>
      </c>
      <c r="I947" s="204" t="s">
        <v>7394</v>
      </c>
    </row>
    <row r="948" spans="1:9" x14ac:dyDescent="0.25">
      <c r="A948" s="204" t="s">
        <v>999</v>
      </c>
      <c r="B948" s="9" t="str">
        <f t="shared" si="28"/>
        <v>18742100</v>
      </c>
      <c r="C948" s="9" t="str">
        <f>VLOOKUP(B948,COA!A:B,2,FALSE)</f>
        <v>LT Asset - Intercompany Capital Lease Income</v>
      </c>
      <c r="D948" s="338" t="str">
        <f t="shared" si="29"/>
        <v>C1862</v>
      </c>
      <c r="E948" s="338" t="s">
        <v>6885</v>
      </c>
      <c r="G948" s="338">
        <v>0</v>
      </c>
      <c r="H948" s="204" t="s">
        <v>77</v>
      </c>
      <c r="I948" s="204" t="s">
        <v>7394</v>
      </c>
    </row>
    <row r="949" spans="1:9" x14ac:dyDescent="0.25">
      <c r="A949" s="204" t="s">
        <v>1000</v>
      </c>
      <c r="B949" s="9" t="str">
        <f t="shared" si="28"/>
        <v>18743000</v>
      </c>
      <c r="C949" s="9" t="str">
        <f>VLOOKUP(B949,COA!A:B,2,FALSE)</f>
        <v>LT Asset - Tax Credits Receivable</v>
      </c>
      <c r="D949" s="338" t="str">
        <f t="shared" si="29"/>
        <v>C1862</v>
      </c>
      <c r="E949" s="338" t="s">
        <v>6885</v>
      </c>
      <c r="G949" s="338">
        <v>0</v>
      </c>
      <c r="H949" s="204" t="s">
        <v>77</v>
      </c>
      <c r="I949" s="204" t="s">
        <v>7394</v>
      </c>
    </row>
    <row r="950" spans="1:9" x14ac:dyDescent="0.25">
      <c r="A950" s="204" t="s">
        <v>1001</v>
      </c>
      <c r="B950" s="9" t="str">
        <f t="shared" si="28"/>
        <v>18750000</v>
      </c>
      <c r="C950" s="9" t="str">
        <f>VLOOKUP(B950,COA!A:B,2,FALSE)</f>
        <v>LT Asset - Operating Lease Right-Of-Use Assets</v>
      </c>
      <c r="D950" s="338" t="str">
        <f t="shared" si="29"/>
        <v>C1862</v>
      </c>
      <c r="E950" s="338" t="s">
        <v>6885</v>
      </c>
      <c r="G950" s="338">
        <v>0</v>
      </c>
      <c r="H950" s="204" t="s">
        <v>77</v>
      </c>
      <c r="I950" s="204" t="s">
        <v>7394</v>
      </c>
    </row>
    <row r="951" spans="1:9" x14ac:dyDescent="0.25">
      <c r="A951" s="204" t="s">
        <v>1002</v>
      </c>
      <c r="B951" s="9" t="str">
        <f t="shared" si="28"/>
        <v>18790000</v>
      </c>
      <c r="C951" s="9" t="str">
        <f>VLOOKUP(B951,COA!A:B,2,FALSE)</f>
        <v>LT Asset - Other</v>
      </c>
      <c r="D951" s="338" t="str">
        <f t="shared" si="29"/>
        <v>C1862</v>
      </c>
      <c r="E951" s="338" t="s">
        <v>6885</v>
      </c>
      <c r="G951" s="338">
        <v>0</v>
      </c>
      <c r="H951" s="204" t="s">
        <v>77</v>
      </c>
      <c r="I951" s="204" t="s">
        <v>7394</v>
      </c>
    </row>
    <row r="952" spans="1:9" x14ac:dyDescent="0.25">
      <c r="A952" s="204" t="s">
        <v>1003</v>
      </c>
      <c r="B952" s="9" t="str">
        <f t="shared" si="28"/>
        <v>18791000</v>
      </c>
      <c r="C952" s="9" t="str">
        <f>VLOOKUP(B952,COA!A:B,2,FALSE)</f>
        <v>LT Asset - OPEB</v>
      </c>
      <c r="D952" s="338" t="str">
        <f t="shared" si="29"/>
        <v>C1862</v>
      </c>
      <c r="E952" s="338" t="s">
        <v>6885</v>
      </c>
      <c r="G952" s="338">
        <v>0</v>
      </c>
      <c r="H952" s="204" t="s">
        <v>77</v>
      </c>
      <c r="I952" s="204" t="s">
        <v>7394</v>
      </c>
    </row>
    <row r="953" spans="1:9" x14ac:dyDescent="0.25">
      <c r="A953" s="204" t="s">
        <v>1004</v>
      </c>
      <c r="B953" s="9" t="str">
        <f t="shared" si="28"/>
        <v>18800000</v>
      </c>
      <c r="C953" s="9" t="str">
        <f>VLOOKUP(B953,COA!A:B,2,FALSE)</f>
        <v>Funds Restricted for Construction - LT</v>
      </c>
      <c r="D953" s="338" t="str">
        <f t="shared" si="29"/>
        <v>C1862</v>
      </c>
      <c r="E953" s="338" t="s">
        <v>6885</v>
      </c>
      <c r="G953" s="338">
        <v>0</v>
      </c>
      <c r="H953" s="204" t="s">
        <v>77</v>
      </c>
      <c r="I953" s="204" t="s">
        <v>7394</v>
      </c>
    </row>
    <row r="954" spans="1:9" x14ac:dyDescent="0.25">
      <c r="A954" s="204" t="s">
        <v>1005</v>
      </c>
      <c r="B954" s="9" t="str">
        <f t="shared" si="28"/>
        <v>20110000</v>
      </c>
      <c r="C954" s="9" t="str">
        <f>VLOOKUP(B954,COA!A:B,2,FALSE)</f>
        <v>Common Stock - Subs Minority Interest</v>
      </c>
      <c r="D954" s="338" t="str">
        <f t="shared" si="29"/>
        <v>C201</v>
      </c>
      <c r="E954" s="338" t="s">
        <v>6886</v>
      </c>
      <c r="G954" s="338">
        <v>0</v>
      </c>
      <c r="H954" s="204" t="s">
        <v>77</v>
      </c>
      <c r="I954" s="204" t="s">
        <v>7400</v>
      </c>
    </row>
    <row r="955" spans="1:9" x14ac:dyDescent="0.25">
      <c r="A955" s="204" t="s">
        <v>1006</v>
      </c>
      <c r="B955" s="9" t="str">
        <f t="shared" si="28"/>
        <v>20120000</v>
      </c>
      <c r="C955" s="9" t="str">
        <f>VLOOKUP(B955,COA!A:B,2,FALSE)</f>
        <v>Common Stock - Subs Intercompany</v>
      </c>
      <c r="D955" s="338" t="str">
        <f t="shared" si="29"/>
        <v>C201</v>
      </c>
      <c r="E955" s="338" t="s">
        <v>6886</v>
      </c>
      <c r="G955" s="338">
        <v>0</v>
      </c>
      <c r="H955" s="204" t="s">
        <v>77</v>
      </c>
      <c r="I955" s="204" t="s">
        <v>7400</v>
      </c>
    </row>
    <row r="956" spans="1:9" x14ac:dyDescent="0.25">
      <c r="A956" s="204" t="s">
        <v>1007</v>
      </c>
      <c r="B956" s="9" t="str">
        <f t="shared" si="28"/>
        <v>20130000</v>
      </c>
      <c r="C956" s="9" t="str">
        <f>VLOOKUP(B956,COA!A:B,2,FALSE)</f>
        <v>Common Stock - AWK</v>
      </c>
      <c r="D956" s="338" t="str">
        <f t="shared" si="29"/>
        <v>C201</v>
      </c>
      <c r="E956" s="338" t="s">
        <v>6886</v>
      </c>
      <c r="G956" s="338">
        <v>0</v>
      </c>
      <c r="H956" s="204" t="s">
        <v>77</v>
      </c>
      <c r="I956" s="204" t="s">
        <v>7400</v>
      </c>
    </row>
    <row r="957" spans="1:9" x14ac:dyDescent="0.25">
      <c r="A957" s="204" t="s">
        <v>1008</v>
      </c>
      <c r="B957" s="9" t="str">
        <f t="shared" si="28"/>
        <v>20510000</v>
      </c>
      <c r="C957" s="9" t="str">
        <f>VLOOKUP(B957,COA!A:B,2,FALSE)</f>
        <v>Paid-in Capital - Subs Minority Interest</v>
      </c>
      <c r="D957" s="338" t="str">
        <f t="shared" si="29"/>
        <v>C207</v>
      </c>
      <c r="E957" s="338" t="s">
        <v>6886</v>
      </c>
      <c r="G957" s="338">
        <v>0</v>
      </c>
      <c r="H957" s="204" t="s">
        <v>77</v>
      </c>
      <c r="I957" s="204" t="s">
        <v>7401</v>
      </c>
    </row>
    <row r="958" spans="1:9" x14ac:dyDescent="0.25">
      <c r="A958" s="204" t="s">
        <v>1009</v>
      </c>
      <c r="B958" s="9" t="str">
        <f t="shared" si="28"/>
        <v>20520000</v>
      </c>
      <c r="C958" s="9" t="str">
        <f>VLOOKUP(B958,COA!A:B,2,FALSE)</f>
        <v>Paid-in Capital - Subs Intercompany</v>
      </c>
      <c r="D958" s="338" t="str">
        <f t="shared" si="29"/>
        <v>C211</v>
      </c>
      <c r="E958" s="338" t="s">
        <v>6886</v>
      </c>
      <c r="G958" s="338">
        <v>0</v>
      </c>
      <c r="H958" s="204" t="s">
        <v>77</v>
      </c>
      <c r="I958" s="204" t="s">
        <v>7402</v>
      </c>
    </row>
    <row r="959" spans="1:9" x14ac:dyDescent="0.25">
      <c r="A959" s="204" t="s">
        <v>1010</v>
      </c>
      <c r="B959" s="9" t="str">
        <f t="shared" si="28"/>
        <v>20530000</v>
      </c>
      <c r="C959" s="9" t="str">
        <f>VLOOKUP(B959,COA!A:B,2,FALSE)</f>
        <v>Paid-in Capital - AWK Misc</v>
      </c>
      <c r="D959" s="338" t="str">
        <f t="shared" si="29"/>
        <v>C207</v>
      </c>
      <c r="E959" s="338" t="s">
        <v>6886</v>
      </c>
      <c r="G959" s="338">
        <v>0</v>
      </c>
      <c r="H959" s="204" t="s">
        <v>77</v>
      </c>
      <c r="I959" s="204" t="s">
        <v>7401</v>
      </c>
    </row>
    <row r="960" spans="1:9" x14ac:dyDescent="0.25">
      <c r="A960" s="204" t="s">
        <v>1011</v>
      </c>
      <c r="B960" s="9" t="str">
        <f t="shared" si="28"/>
        <v>20530100</v>
      </c>
      <c r="C960" s="9" t="str">
        <f>VLOOKUP(B960,COA!A:B,2,FALSE)</f>
        <v>Paid-in Capital - AWK Restricted Stock</v>
      </c>
      <c r="D960" s="338" t="str">
        <f t="shared" si="29"/>
        <v>C211</v>
      </c>
      <c r="E960" s="338" t="s">
        <v>6886</v>
      </c>
      <c r="G960" s="338">
        <v>0</v>
      </c>
      <c r="H960" s="204" t="s">
        <v>77</v>
      </c>
      <c r="I960" s="204" t="s">
        <v>7402</v>
      </c>
    </row>
    <row r="961" spans="1:9" x14ac:dyDescent="0.25">
      <c r="A961" s="204" t="s">
        <v>1012</v>
      </c>
      <c r="B961" s="9" t="str">
        <f t="shared" si="28"/>
        <v>20530200</v>
      </c>
      <c r="C961" s="9" t="str">
        <f>VLOOKUP(B961,COA!A:B,2,FALSE)</f>
        <v>Paid-in Capital - AWK Options</v>
      </c>
      <c r="D961" s="338" t="str">
        <f t="shared" si="29"/>
        <v>C211</v>
      </c>
      <c r="E961" s="338" t="s">
        <v>6886</v>
      </c>
      <c r="G961" s="338">
        <v>0</v>
      </c>
      <c r="H961" s="204" t="s">
        <v>77</v>
      </c>
      <c r="I961" s="204" t="s">
        <v>7402</v>
      </c>
    </row>
    <row r="962" spans="1:9" x14ac:dyDescent="0.25">
      <c r="A962" s="204" t="s">
        <v>1013</v>
      </c>
      <c r="B962" s="9" t="str">
        <f t="shared" ref="B962:B1024" si="30">RIGHT(A962,8)</f>
        <v>20530300</v>
      </c>
      <c r="C962" s="9" t="str">
        <f>VLOOKUP(B962,COA!A:B,2,FALSE)</f>
        <v>Paid-in Capital - AWK RSU's</v>
      </c>
      <c r="D962" s="338" t="str">
        <f t="shared" si="29"/>
        <v>C211</v>
      </c>
      <c r="E962" s="338" t="s">
        <v>6886</v>
      </c>
      <c r="G962" s="338">
        <v>0</v>
      </c>
      <c r="H962" s="204" t="s">
        <v>77</v>
      </c>
      <c r="I962" s="204" t="s">
        <v>7402</v>
      </c>
    </row>
    <row r="963" spans="1:9" x14ac:dyDescent="0.25">
      <c r="A963" s="204" t="s">
        <v>1014</v>
      </c>
      <c r="B963" s="9" t="str">
        <f t="shared" si="30"/>
        <v>20530400</v>
      </c>
      <c r="C963" s="9" t="str">
        <f>VLOOKUP(B963,COA!A:B,2,FALSE)</f>
        <v>Paid-in Capital - AWK Treasury Stock</v>
      </c>
      <c r="D963" s="338" t="str">
        <f t="shared" si="29"/>
        <v>C211</v>
      </c>
      <c r="E963" s="338" t="s">
        <v>6886</v>
      </c>
      <c r="G963" s="338">
        <v>0</v>
      </c>
      <c r="H963" s="204" t="s">
        <v>77</v>
      </c>
      <c r="I963" s="204" t="s">
        <v>7402</v>
      </c>
    </row>
    <row r="964" spans="1:9" x14ac:dyDescent="0.25">
      <c r="A964" s="204" t="s">
        <v>1015</v>
      </c>
      <c r="B964" s="9" t="str">
        <f t="shared" si="30"/>
        <v>20530500</v>
      </c>
      <c r="C964" s="9" t="str">
        <f>VLOOKUP(B964,COA!A:B,2,FALSE)</f>
        <v>Paid-in Capital - AWK ESPP</v>
      </c>
      <c r="D964" s="338" t="str">
        <f t="shared" si="29"/>
        <v>C211</v>
      </c>
      <c r="E964" s="338" t="s">
        <v>6886</v>
      </c>
      <c r="G964" s="338">
        <v>0</v>
      </c>
      <c r="H964" s="204" t="s">
        <v>77</v>
      </c>
      <c r="I964" s="204" t="s">
        <v>7402</v>
      </c>
    </row>
    <row r="965" spans="1:9" x14ac:dyDescent="0.25">
      <c r="A965" s="204" t="s">
        <v>1016</v>
      </c>
      <c r="B965" s="9" t="str">
        <f t="shared" si="30"/>
        <v>20530600</v>
      </c>
      <c r="C965" s="9" t="str">
        <f>VLOOKUP(B965,COA!A:B,2,FALSE)</f>
        <v>Paid-in Capital - AWK DRIP</v>
      </c>
      <c r="D965" s="338" t="str">
        <f t="shared" si="29"/>
        <v>C211</v>
      </c>
      <c r="E965" s="338" t="s">
        <v>6886</v>
      </c>
      <c r="G965" s="338">
        <v>0</v>
      </c>
      <c r="H965" s="204" t="s">
        <v>77</v>
      </c>
      <c r="I965" s="204" t="s">
        <v>7402</v>
      </c>
    </row>
    <row r="966" spans="1:9" x14ac:dyDescent="0.25">
      <c r="A966" s="204" t="s">
        <v>1017</v>
      </c>
      <c r="B966" s="9" t="str">
        <f t="shared" si="30"/>
        <v>20530650</v>
      </c>
      <c r="C966" s="9" t="str">
        <f>VLOOKUP(B966,COA!A:B,2,FALSE)</f>
        <v>Paid-in Capital - DWAC Fees</v>
      </c>
      <c r="D966" s="338" t="str">
        <f t="shared" si="29"/>
        <v>C211</v>
      </c>
      <c r="E966" s="338" t="s">
        <v>6886</v>
      </c>
      <c r="G966" s="338">
        <v>0</v>
      </c>
      <c r="H966" s="204" t="s">
        <v>77</v>
      </c>
      <c r="I966" s="204" t="s">
        <v>7402</v>
      </c>
    </row>
    <row r="967" spans="1:9" x14ac:dyDescent="0.25">
      <c r="A967" s="204" t="s">
        <v>1018</v>
      </c>
      <c r="B967" s="9" t="str">
        <f t="shared" si="30"/>
        <v>20530700</v>
      </c>
      <c r="C967" s="9" t="str">
        <f>VLOOKUP(B967,COA!A:B,2,FALSE)</f>
        <v>Paid-in Capital - Tax Windfall</v>
      </c>
      <c r="D967" s="338" t="str">
        <f t="shared" si="29"/>
        <v>C211</v>
      </c>
      <c r="E967" s="338" t="s">
        <v>6886</v>
      </c>
      <c r="G967" s="338">
        <v>0</v>
      </c>
      <c r="H967" s="204" t="s">
        <v>77</v>
      </c>
      <c r="I967" s="204" t="s">
        <v>7402</v>
      </c>
    </row>
    <row r="968" spans="1:9" x14ac:dyDescent="0.25">
      <c r="A968" s="204" t="s">
        <v>1019</v>
      </c>
      <c r="B968" s="9" t="str">
        <f t="shared" si="30"/>
        <v>20540000</v>
      </c>
      <c r="C968" s="9" t="str">
        <f>VLOOKUP(B968,COA!A:B,2,FALSE)</f>
        <v>Paid-in Capital - AWK Capital Stock Expense</v>
      </c>
      <c r="D968" s="338" t="str">
        <f t="shared" si="29"/>
        <v>C211</v>
      </c>
      <c r="E968" s="338" t="s">
        <v>6886</v>
      </c>
      <c r="G968" s="338">
        <v>0</v>
      </c>
      <c r="H968" s="204" t="s">
        <v>77</v>
      </c>
      <c r="I968" s="204" t="s">
        <v>7402</v>
      </c>
    </row>
    <row r="969" spans="1:9" x14ac:dyDescent="0.25">
      <c r="A969" s="204" t="s">
        <v>1020</v>
      </c>
      <c r="B969" s="9" t="str">
        <f t="shared" si="30"/>
        <v>21021000</v>
      </c>
      <c r="C969" s="9" t="str">
        <f>VLOOKUP(B969,COA!A:B,2,FALSE)</f>
        <v>Retained Earnings at Acquisition Intercompany</v>
      </c>
      <c r="D969" s="338" t="str">
        <f t="shared" si="29"/>
        <v>C215</v>
      </c>
      <c r="E969" s="338" t="s">
        <v>6886</v>
      </c>
      <c r="G969" s="338">
        <v>0</v>
      </c>
      <c r="H969" s="204" t="s">
        <v>77</v>
      </c>
      <c r="I969" s="204" t="s">
        <v>7403</v>
      </c>
    </row>
    <row r="970" spans="1:9" x14ac:dyDescent="0.25">
      <c r="A970" s="204" t="s">
        <v>1021</v>
      </c>
      <c r="B970" s="9" t="str">
        <f t="shared" si="30"/>
        <v>21024000</v>
      </c>
      <c r="C970" s="9" t="str">
        <f>VLOOKUP(B970,COA!A:B,2,FALSE)</f>
        <v>Retained Earnings Since Acquisition</v>
      </c>
      <c r="D970" s="338" t="str">
        <f t="shared" si="29"/>
        <v>C215</v>
      </c>
      <c r="E970" s="338" t="s">
        <v>6886</v>
      </c>
      <c r="G970" s="338">
        <v>0</v>
      </c>
      <c r="H970" s="204" t="s">
        <v>77</v>
      </c>
      <c r="I970" s="204" t="s">
        <v>7403</v>
      </c>
    </row>
    <row r="971" spans="1:9" x14ac:dyDescent="0.25">
      <c r="A971" s="204" t="s">
        <v>1022</v>
      </c>
      <c r="B971" s="9" t="str">
        <f t="shared" si="30"/>
        <v>21025000</v>
      </c>
      <c r="C971" s="9" t="str">
        <f>VLOOKUP(B971,COA!A:B,2,FALSE)</f>
        <v>Retained Earnings Retro Accounting Adjustments</v>
      </c>
      <c r="D971" s="338" t="str">
        <f t="shared" ref="D971:D1034" si="31">+I971</f>
        <v>C215</v>
      </c>
      <c r="E971" s="338" t="s">
        <v>6886</v>
      </c>
      <c r="G971" s="338">
        <v>0</v>
      </c>
      <c r="H971" s="204" t="s">
        <v>77</v>
      </c>
      <c r="I971" s="204" t="s">
        <v>7403</v>
      </c>
    </row>
    <row r="972" spans="1:9" x14ac:dyDescent="0.25">
      <c r="A972" s="204" t="s">
        <v>1023</v>
      </c>
      <c r="B972" s="9" t="str">
        <f t="shared" si="30"/>
        <v>21200000</v>
      </c>
      <c r="C972" s="9" t="str">
        <f>VLOOKUP(B972,COA!A:B,2,FALSE)</f>
        <v>Treasury stock</v>
      </c>
      <c r="D972" s="338" t="str">
        <f t="shared" si="31"/>
        <v>C216</v>
      </c>
      <c r="E972" s="338" t="s">
        <v>6886</v>
      </c>
      <c r="G972" s="338">
        <v>0</v>
      </c>
      <c r="H972" s="204" t="s">
        <v>77</v>
      </c>
      <c r="I972" s="204" t="s">
        <v>7404</v>
      </c>
    </row>
    <row r="973" spans="1:9" x14ac:dyDescent="0.25">
      <c r="A973" s="204" t="s">
        <v>1024</v>
      </c>
      <c r="B973" s="9" t="str">
        <f t="shared" si="30"/>
        <v>21300000</v>
      </c>
      <c r="C973" s="9" t="str">
        <f>VLOOKUP(B973,COA!A:B,2,FALSE)</f>
        <v>Accumulated Comprehensive Income</v>
      </c>
      <c r="D973" s="338" t="str">
        <f t="shared" si="31"/>
        <v>C216</v>
      </c>
      <c r="E973" s="338" t="s">
        <v>6886</v>
      </c>
      <c r="G973" s="338">
        <v>0</v>
      </c>
      <c r="H973" s="204" t="s">
        <v>77</v>
      </c>
      <c r="I973" s="204" t="s">
        <v>7404</v>
      </c>
    </row>
    <row r="974" spans="1:9" x14ac:dyDescent="0.25">
      <c r="A974" s="204" t="s">
        <v>1025</v>
      </c>
      <c r="B974" s="9" t="str">
        <f t="shared" si="30"/>
        <v>21300010</v>
      </c>
      <c r="C974" s="9" t="str">
        <f>VLOOKUP(B974,COA!A:B,2,FALSE)</f>
        <v>Accumulated Comprehensive Income - Tax</v>
      </c>
      <c r="D974" s="338" t="str">
        <f t="shared" si="31"/>
        <v>C216</v>
      </c>
      <c r="E974" s="338" t="s">
        <v>6886</v>
      </c>
      <c r="G974" s="338">
        <v>0</v>
      </c>
      <c r="H974" s="204" t="s">
        <v>77</v>
      </c>
      <c r="I974" s="204" t="s">
        <v>7404</v>
      </c>
    </row>
    <row r="975" spans="1:9" x14ac:dyDescent="0.25">
      <c r="A975" s="204" t="s">
        <v>1026</v>
      </c>
      <c r="B975" s="9" t="str">
        <f t="shared" si="30"/>
        <v>21300200</v>
      </c>
      <c r="C975" s="9" t="str">
        <f>VLOOKUP(B975,COA!A:B,2,FALSE)</f>
        <v>Accumulated Comprehensive Income - Pension</v>
      </c>
      <c r="D975" s="338" t="str">
        <f t="shared" si="31"/>
        <v>C216</v>
      </c>
      <c r="E975" s="338" t="s">
        <v>6886</v>
      </c>
      <c r="G975" s="338">
        <v>0</v>
      </c>
      <c r="H975" s="204" t="s">
        <v>77</v>
      </c>
      <c r="I975" s="204" t="s">
        <v>7404</v>
      </c>
    </row>
    <row r="976" spans="1:9" x14ac:dyDescent="0.25">
      <c r="A976" s="204" t="s">
        <v>1027</v>
      </c>
      <c r="B976" s="9" t="str">
        <f t="shared" si="30"/>
        <v>21300210</v>
      </c>
      <c r="C976" s="9" t="str">
        <f>VLOOKUP(B976,COA!A:B,2,FALSE)</f>
        <v>Accumulated Comprehensive Income - Pension - Tax</v>
      </c>
      <c r="D976" s="338" t="str">
        <f t="shared" si="31"/>
        <v>C216</v>
      </c>
      <c r="E976" s="338" t="s">
        <v>6886</v>
      </c>
      <c r="G976" s="338">
        <v>0</v>
      </c>
      <c r="H976" s="204" t="s">
        <v>77</v>
      </c>
      <c r="I976" s="204" t="s">
        <v>7404</v>
      </c>
    </row>
    <row r="977" spans="1:9" x14ac:dyDescent="0.25">
      <c r="A977" s="204" t="s">
        <v>1028</v>
      </c>
      <c r="B977" s="9" t="str">
        <f t="shared" si="30"/>
        <v>21300300</v>
      </c>
      <c r="C977" s="9" t="str">
        <f>VLOOKUP(B977,COA!A:B,2,FALSE)</f>
        <v>Accumulated Comprehensive Income - Hedge</v>
      </c>
      <c r="D977" s="338" t="str">
        <f t="shared" si="31"/>
        <v>C216</v>
      </c>
      <c r="E977" s="338" t="s">
        <v>6886</v>
      </c>
      <c r="G977" s="338">
        <v>0</v>
      </c>
      <c r="H977" s="204" t="s">
        <v>77</v>
      </c>
      <c r="I977" s="204" t="s">
        <v>7404</v>
      </c>
    </row>
    <row r="978" spans="1:9" x14ac:dyDescent="0.25">
      <c r="A978" s="204" t="s">
        <v>1029</v>
      </c>
      <c r="B978" s="9" t="str">
        <f t="shared" si="30"/>
        <v>21300305</v>
      </c>
      <c r="C978" s="9" t="str">
        <f>VLOOKUP(B978,COA!A:B,2,FALSE)</f>
        <v>Accumulated Comprehensive Income - Hedge - Interco</v>
      </c>
      <c r="D978" s="338" t="str">
        <f t="shared" si="31"/>
        <v>C216</v>
      </c>
      <c r="E978" s="338" t="s">
        <v>6886</v>
      </c>
      <c r="G978" s="338">
        <v>0</v>
      </c>
      <c r="H978" s="204" t="s">
        <v>77</v>
      </c>
      <c r="I978" s="204" t="s">
        <v>7404</v>
      </c>
    </row>
    <row r="979" spans="1:9" x14ac:dyDescent="0.25">
      <c r="A979" s="204" t="s">
        <v>1030</v>
      </c>
      <c r="B979" s="9" t="str">
        <f t="shared" si="30"/>
        <v>21300310</v>
      </c>
      <c r="C979" s="9" t="str">
        <f>VLOOKUP(B979,COA!A:B,2,FALSE)</f>
        <v>Accumulated Comprehensive Income - Hedge - Tax</v>
      </c>
      <c r="D979" s="338" t="str">
        <f t="shared" si="31"/>
        <v>C216</v>
      </c>
      <c r="E979" s="338" t="s">
        <v>6886</v>
      </c>
      <c r="G979" s="338">
        <v>0</v>
      </c>
      <c r="H979" s="204" t="s">
        <v>77</v>
      </c>
      <c r="I979" s="204" t="s">
        <v>7404</v>
      </c>
    </row>
    <row r="980" spans="1:9" x14ac:dyDescent="0.25">
      <c r="A980" s="204" t="s">
        <v>1031</v>
      </c>
      <c r="B980" s="9" t="str">
        <f t="shared" si="30"/>
        <v>21300315</v>
      </c>
      <c r="C980" s="9" t="str">
        <f>VLOOKUP(B980,COA!A:B,2,FALSE)</f>
        <v>Accumulated Comprehensive Income-Hedge Interco-Tax</v>
      </c>
      <c r="D980" s="338" t="str">
        <f t="shared" si="31"/>
        <v>C216</v>
      </c>
      <c r="E980" s="338" t="s">
        <v>6886</v>
      </c>
      <c r="G980" s="338">
        <v>0</v>
      </c>
      <c r="H980" s="204" t="s">
        <v>77</v>
      </c>
      <c r="I980" s="204" t="s">
        <v>7404</v>
      </c>
    </row>
    <row r="981" spans="1:9" x14ac:dyDescent="0.25">
      <c r="A981" s="204" t="s">
        <v>1032</v>
      </c>
      <c r="B981" s="9" t="str">
        <f t="shared" si="30"/>
        <v>21410000</v>
      </c>
      <c r="C981" s="9" t="str">
        <f>VLOOKUP(B981,COA!A:B,2,FALSE)</f>
        <v>Preferred Stock - w/o Mandatory Redemptn Requirmts</v>
      </c>
      <c r="D981" s="338" t="str">
        <f t="shared" si="31"/>
        <v>C205</v>
      </c>
      <c r="E981" s="338" t="s">
        <v>6886</v>
      </c>
      <c r="G981" s="338">
        <v>0</v>
      </c>
      <c r="H981" s="204" t="s">
        <v>77</v>
      </c>
      <c r="I981" s="204" t="s">
        <v>7405</v>
      </c>
    </row>
    <row r="982" spans="1:9" x14ac:dyDescent="0.25">
      <c r="A982" s="204" t="s">
        <v>1033</v>
      </c>
      <c r="B982" s="9" t="str">
        <f t="shared" si="30"/>
        <v>21420000</v>
      </c>
      <c r="C982" s="9" t="str">
        <f>VLOOKUP(B982,COA!A:B,2,FALSE)</f>
        <v>Preferred Stock - w/o Mand Redemptn Requirmts I/C</v>
      </c>
      <c r="D982" s="338" t="str">
        <f t="shared" si="31"/>
        <v>C205</v>
      </c>
      <c r="E982" s="338" t="s">
        <v>6886</v>
      </c>
      <c r="G982" s="338">
        <v>0</v>
      </c>
      <c r="H982" s="204" t="s">
        <v>77</v>
      </c>
      <c r="I982" s="204" t="s">
        <v>7405</v>
      </c>
    </row>
    <row r="983" spans="1:9" x14ac:dyDescent="0.25">
      <c r="A983" s="204" t="s">
        <v>1034</v>
      </c>
      <c r="B983" s="9" t="str">
        <f t="shared" si="30"/>
        <v>21510000</v>
      </c>
      <c r="C983" s="9" t="str">
        <f>VLOOKUP(B983,COA!A:B,2,FALSE)</f>
        <v>Preferred Stock - Redeemable</v>
      </c>
      <c r="D983" s="338" t="str">
        <f t="shared" si="31"/>
        <v>C204</v>
      </c>
      <c r="E983" s="338" t="s">
        <v>6886</v>
      </c>
      <c r="G983" s="338">
        <v>0</v>
      </c>
      <c r="H983" s="204" t="s">
        <v>77</v>
      </c>
      <c r="I983" s="204" t="s">
        <v>7406</v>
      </c>
    </row>
    <row r="984" spans="1:9" x14ac:dyDescent="0.25">
      <c r="A984" s="204" t="s">
        <v>1035</v>
      </c>
      <c r="B984" s="9" t="str">
        <f t="shared" si="30"/>
        <v>21510100</v>
      </c>
      <c r="C984" s="9" t="str">
        <f>VLOOKUP(B984,COA!A:B,2,FALSE)</f>
        <v>Preferred Stock - Redeemable FV Uplift</v>
      </c>
      <c r="D984" s="338" t="str">
        <f t="shared" si="31"/>
        <v>C204</v>
      </c>
      <c r="E984" s="338" t="s">
        <v>6886</v>
      </c>
      <c r="G984" s="338">
        <v>0</v>
      </c>
      <c r="H984" s="204" t="s">
        <v>77</v>
      </c>
      <c r="I984" s="204" t="s">
        <v>7406</v>
      </c>
    </row>
    <row r="985" spans="1:9" x14ac:dyDescent="0.25">
      <c r="A985" s="204" t="s">
        <v>1036</v>
      </c>
      <c r="B985" s="9" t="str">
        <f t="shared" si="30"/>
        <v>21550000</v>
      </c>
      <c r="C985" s="9" t="str">
        <f>VLOOKUP(B985,COA!A:B,2,FALSE)</f>
        <v>Curr Portion - Redeemable Preferred Stock</v>
      </c>
      <c r="D985" s="338" t="str">
        <f t="shared" si="31"/>
        <v>C204</v>
      </c>
      <c r="E985" s="338" t="s">
        <v>6886</v>
      </c>
      <c r="G985" s="338">
        <v>0</v>
      </c>
      <c r="H985" s="204" t="s">
        <v>77</v>
      </c>
      <c r="I985" s="204" t="s">
        <v>7406</v>
      </c>
    </row>
    <row r="986" spans="1:9" x14ac:dyDescent="0.25">
      <c r="A986" s="204" t="s">
        <v>1037</v>
      </c>
      <c r="B986" s="9" t="str">
        <f t="shared" si="30"/>
        <v>22110000</v>
      </c>
      <c r="C986" s="9" t="str">
        <f>VLOOKUP(B986,COA!A:B,2,FALSE)</f>
        <v>Bonds</v>
      </c>
      <c r="D986" s="338" t="str">
        <f t="shared" si="31"/>
        <v>C221</v>
      </c>
      <c r="E986" s="338" t="s">
        <v>6886</v>
      </c>
      <c r="G986" s="338">
        <v>0</v>
      </c>
      <c r="H986" s="204" t="s">
        <v>77</v>
      </c>
      <c r="I986" s="204" t="s">
        <v>7407</v>
      </c>
    </row>
    <row r="987" spans="1:9" x14ac:dyDescent="0.25">
      <c r="A987" s="204" t="s">
        <v>1038</v>
      </c>
      <c r="B987" s="9" t="str">
        <f t="shared" si="30"/>
        <v>22110100</v>
      </c>
      <c r="C987" s="9" t="str">
        <f>VLOOKUP(B987,COA!A:B,2,FALSE)</f>
        <v>Bonds - FV Uplift</v>
      </c>
      <c r="D987" s="338" t="str">
        <f t="shared" si="31"/>
        <v>C221</v>
      </c>
      <c r="E987" s="338" t="s">
        <v>6886</v>
      </c>
      <c r="G987" s="338">
        <v>0</v>
      </c>
      <c r="H987" s="204" t="s">
        <v>77</v>
      </c>
      <c r="I987" s="204" t="s">
        <v>7407</v>
      </c>
    </row>
    <row r="988" spans="1:9" x14ac:dyDescent="0.25">
      <c r="A988" s="204" t="s">
        <v>1039</v>
      </c>
      <c r="B988" s="9" t="str">
        <f t="shared" si="30"/>
        <v>22110200</v>
      </c>
      <c r="C988" s="9" t="str">
        <f>VLOOKUP(B988,COA!A:B,2,FALSE)</f>
        <v>Bonds - FV Hedge</v>
      </c>
      <c r="D988" s="338" t="str">
        <f t="shared" si="31"/>
        <v>C221</v>
      </c>
      <c r="E988" s="338" t="s">
        <v>6886</v>
      </c>
      <c r="G988" s="338">
        <v>0</v>
      </c>
      <c r="H988" s="204" t="s">
        <v>77</v>
      </c>
      <c r="I988" s="204" t="s">
        <v>7407</v>
      </c>
    </row>
    <row r="989" spans="1:9" x14ac:dyDescent="0.25">
      <c r="A989" s="204" t="s">
        <v>1040</v>
      </c>
      <c r="B989" s="9" t="str">
        <f t="shared" si="30"/>
        <v>22110400</v>
      </c>
      <c r="C989" s="9" t="str">
        <f>VLOOKUP(B989,COA!A:B,2,FALSE)</f>
        <v>LT Debt - Discount Inside</v>
      </c>
      <c r="D989" s="338" t="str">
        <f t="shared" si="31"/>
        <v>C221</v>
      </c>
      <c r="E989" s="338" t="s">
        <v>6886</v>
      </c>
      <c r="G989" s="338">
        <v>0</v>
      </c>
      <c r="H989" s="204" t="s">
        <v>77</v>
      </c>
      <c r="I989" s="204" t="s">
        <v>7407</v>
      </c>
    </row>
    <row r="990" spans="1:9" x14ac:dyDescent="0.25">
      <c r="A990" s="204" t="s">
        <v>1041</v>
      </c>
      <c r="B990" s="9" t="str">
        <f t="shared" si="30"/>
        <v>22110500</v>
      </c>
      <c r="C990" s="9" t="str">
        <f>VLOOKUP(B990,COA!A:B,2,FALSE)</f>
        <v>AWTR-LT Debt Premium-Outside</v>
      </c>
      <c r="D990" s="338" t="str">
        <f t="shared" si="31"/>
        <v>C221</v>
      </c>
      <c r="E990" s="338" t="s">
        <v>6886</v>
      </c>
      <c r="G990" s="338">
        <v>0</v>
      </c>
      <c r="H990" s="204" t="s">
        <v>77</v>
      </c>
      <c r="I990" s="204" t="s">
        <v>7407</v>
      </c>
    </row>
    <row r="991" spans="1:9" x14ac:dyDescent="0.25">
      <c r="A991" s="204" t="s">
        <v>1042</v>
      </c>
      <c r="B991" s="9" t="str">
        <f t="shared" si="30"/>
        <v>22110600</v>
      </c>
      <c r="C991" s="9" t="str">
        <f>VLOOKUP(B991,COA!A:B,2,FALSE)</f>
        <v>Unamortized Debt Expense - Non-Reg</v>
      </c>
      <c r="D991" s="338" t="str">
        <f t="shared" si="31"/>
        <v>C221</v>
      </c>
      <c r="E991" s="338" t="s">
        <v>6886</v>
      </c>
      <c r="G991" s="338">
        <v>0</v>
      </c>
      <c r="H991" s="204" t="s">
        <v>77</v>
      </c>
      <c r="I991" s="204" t="s">
        <v>7407</v>
      </c>
    </row>
    <row r="992" spans="1:9" x14ac:dyDescent="0.25">
      <c r="A992" s="204" t="s">
        <v>1043</v>
      </c>
      <c r="B992" s="9" t="str">
        <f t="shared" si="30"/>
        <v>22115000</v>
      </c>
      <c r="C992" s="9" t="str">
        <f>VLOOKUP(B992,COA!A:B,2,FALSE)</f>
        <v>Bonds - Interco</v>
      </c>
      <c r="D992" s="338" t="str">
        <f t="shared" si="31"/>
        <v>C221</v>
      </c>
      <c r="E992" s="338" t="s">
        <v>6886</v>
      </c>
      <c r="G992" s="338">
        <v>0</v>
      </c>
      <c r="H992" s="204" t="s">
        <v>77</v>
      </c>
      <c r="I992" s="204" t="s">
        <v>7407</v>
      </c>
    </row>
    <row r="993" spans="1:9" x14ac:dyDescent="0.25">
      <c r="A993" s="204" t="s">
        <v>1044</v>
      </c>
      <c r="B993" s="9" t="str">
        <f t="shared" si="30"/>
        <v>22130000</v>
      </c>
      <c r="C993" s="9" t="str">
        <f>VLOOKUP(B993,COA!A:B,2,FALSE)</f>
        <v>Capital Lease</v>
      </c>
      <c r="D993" s="338" t="str">
        <f t="shared" si="31"/>
        <v>C224</v>
      </c>
      <c r="E993" s="338" t="s">
        <v>6886</v>
      </c>
      <c r="G993" s="338">
        <v>0</v>
      </c>
      <c r="H993" s="204" t="s">
        <v>77</v>
      </c>
      <c r="I993" s="204" t="s">
        <v>7408</v>
      </c>
    </row>
    <row r="994" spans="1:9" x14ac:dyDescent="0.25">
      <c r="A994" s="204" t="s">
        <v>1045</v>
      </c>
      <c r="B994" s="9" t="str">
        <f t="shared" si="30"/>
        <v>22135000</v>
      </c>
      <c r="C994" s="9" t="str">
        <f>VLOOKUP(B994,COA!A:B,2,FALSE)</f>
        <v>Capital Lease - Interco</v>
      </c>
      <c r="D994" s="338" t="str">
        <f t="shared" si="31"/>
        <v>C224</v>
      </c>
      <c r="E994" s="338" t="s">
        <v>6886</v>
      </c>
      <c r="G994" s="338">
        <v>0</v>
      </c>
      <c r="H994" s="204" t="s">
        <v>77</v>
      </c>
      <c r="I994" s="204" t="s">
        <v>7408</v>
      </c>
    </row>
    <row r="995" spans="1:9" x14ac:dyDescent="0.25">
      <c r="A995" s="204" t="s">
        <v>1046</v>
      </c>
      <c r="B995" s="9" t="str">
        <f t="shared" si="30"/>
        <v>22210000</v>
      </c>
      <c r="C995" s="9" t="str">
        <f>VLOOKUP(B995,COA!A:B,2,FALSE)</f>
        <v>Current Portion LTD</v>
      </c>
      <c r="D995" s="338" t="str">
        <f t="shared" si="31"/>
        <v>C221</v>
      </c>
      <c r="E995" s="338" t="s">
        <v>6886</v>
      </c>
      <c r="G995" s="338">
        <v>0</v>
      </c>
      <c r="H995" s="204" t="s">
        <v>77</v>
      </c>
      <c r="I995" s="204" t="s">
        <v>7407</v>
      </c>
    </row>
    <row r="996" spans="1:9" x14ac:dyDescent="0.25">
      <c r="A996" s="204" t="s">
        <v>1047</v>
      </c>
      <c r="B996" s="9" t="str">
        <f t="shared" si="30"/>
        <v>22215000</v>
      </c>
      <c r="C996" s="9" t="str">
        <f>VLOOKUP(B996,COA!A:B,2,FALSE)</f>
        <v>Current Portion LTD - Interco</v>
      </c>
      <c r="D996" s="338" t="str">
        <f t="shared" si="31"/>
        <v>C221</v>
      </c>
      <c r="E996" s="338" t="s">
        <v>6886</v>
      </c>
      <c r="G996" s="338">
        <v>0</v>
      </c>
      <c r="H996" s="204" t="s">
        <v>77</v>
      </c>
      <c r="I996" s="204" t="s">
        <v>7407</v>
      </c>
    </row>
    <row r="997" spans="1:9" x14ac:dyDescent="0.25">
      <c r="A997" s="204" t="s">
        <v>1048</v>
      </c>
      <c r="B997" s="9" t="str">
        <f t="shared" si="30"/>
        <v>22230000</v>
      </c>
      <c r="C997" s="9" t="str">
        <f>VLOOKUP(B997,COA!A:B,2,FALSE)</f>
        <v>Current Portion Capital Lease</v>
      </c>
      <c r="D997" s="338" t="str">
        <f t="shared" si="31"/>
        <v>C224</v>
      </c>
      <c r="E997" s="338" t="s">
        <v>6886</v>
      </c>
      <c r="G997" s="338">
        <v>0</v>
      </c>
      <c r="H997" s="204" t="s">
        <v>77</v>
      </c>
      <c r="I997" s="204" t="s">
        <v>7408</v>
      </c>
    </row>
    <row r="998" spans="1:9" x14ac:dyDescent="0.25">
      <c r="A998" s="204" t="s">
        <v>1049</v>
      </c>
      <c r="B998" s="9" t="str">
        <f t="shared" si="30"/>
        <v>22235000</v>
      </c>
      <c r="C998" s="9" t="str">
        <f>VLOOKUP(B998,COA!A:B,2,FALSE)</f>
        <v>Current Portion Capital Lease Interco</v>
      </c>
      <c r="D998" s="338" t="str">
        <f t="shared" si="31"/>
        <v>C224</v>
      </c>
      <c r="E998" s="338" t="s">
        <v>6886</v>
      </c>
      <c r="G998" s="338">
        <v>0</v>
      </c>
      <c r="H998" s="204" t="s">
        <v>77</v>
      </c>
      <c r="I998" s="204" t="s">
        <v>7408</v>
      </c>
    </row>
    <row r="999" spans="1:9" x14ac:dyDescent="0.25">
      <c r="A999" s="204" t="s">
        <v>1050</v>
      </c>
      <c r="B999" s="9" t="str">
        <f t="shared" si="30"/>
        <v>23110000</v>
      </c>
      <c r="C999" s="9" t="str">
        <f>VLOOKUP(B999,COA!A:B,2,FALSE)</f>
        <v>N/P Commercial Paper</v>
      </c>
      <c r="D999" s="338" t="str">
        <f t="shared" si="31"/>
        <v>C232</v>
      </c>
      <c r="E999" s="338" t="s">
        <v>6886</v>
      </c>
      <c r="G999" s="338">
        <v>0</v>
      </c>
      <c r="H999" s="204" t="s">
        <v>77</v>
      </c>
      <c r="I999" s="204" t="s">
        <v>7409</v>
      </c>
    </row>
    <row r="1000" spans="1:9" x14ac:dyDescent="0.25">
      <c r="A1000" s="204" t="s">
        <v>1051</v>
      </c>
      <c r="B1000" s="9" t="str">
        <f t="shared" si="30"/>
        <v>23110500</v>
      </c>
      <c r="C1000" s="9" t="str">
        <f>VLOOKUP(B1000,COA!A:B,2,FALSE)</f>
        <v>N/P Commercial Paper Discount</v>
      </c>
      <c r="D1000" s="338" t="str">
        <f t="shared" si="31"/>
        <v>C232</v>
      </c>
      <c r="E1000" s="338" t="s">
        <v>6886</v>
      </c>
      <c r="G1000" s="338">
        <v>0</v>
      </c>
      <c r="H1000" s="204" t="s">
        <v>77</v>
      </c>
      <c r="I1000" s="204" t="s">
        <v>7409</v>
      </c>
    </row>
    <row r="1001" spans="1:9" x14ac:dyDescent="0.25">
      <c r="A1001" s="204" t="s">
        <v>1052</v>
      </c>
      <c r="B1001" s="9" t="str">
        <f t="shared" si="30"/>
        <v>23120000</v>
      </c>
      <c r="C1001" s="9" t="str">
        <f>VLOOKUP(B1001,COA!A:B,2,FALSE)</f>
        <v>N/P Assoc Cos</v>
      </c>
      <c r="D1001" s="338" t="str">
        <f t="shared" si="31"/>
        <v>C234</v>
      </c>
      <c r="E1001" s="338" t="s">
        <v>6886</v>
      </c>
      <c r="G1001" s="338">
        <v>0</v>
      </c>
      <c r="H1001" s="204" t="s">
        <v>77</v>
      </c>
      <c r="I1001" s="204" t="s">
        <v>7363</v>
      </c>
    </row>
    <row r="1002" spans="1:9" x14ac:dyDescent="0.25">
      <c r="A1002" s="204" t="s">
        <v>1053</v>
      </c>
      <c r="B1002" s="9" t="str">
        <f t="shared" si="30"/>
        <v>23121000</v>
      </c>
      <c r="C1002" s="9" t="str">
        <f>VLOOKUP(B1002,COA!A:B,2,FALSE)</f>
        <v>In-House Cash Center Bank</v>
      </c>
      <c r="D1002" s="338" t="str">
        <f t="shared" si="31"/>
        <v>C234</v>
      </c>
      <c r="E1002" s="338" t="s">
        <v>6886</v>
      </c>
      <c r="G1002" s="338">
        <v>0</v>
      </c>
      <c r="H1002" s="204" t="s">
        <v>77</v>
      </c>
      <c r="I1002" s="204" t="s">
        <v>7363</v>
      </c>
    </row>
    <row r="1003" spans="1:9" x14ac:dyDescent="0.25">
      <c r="A1003" s="204" t="s">
        <v>1054</v>
      </c>
      <c r="B1003" s="9" t="str">
        <f t="shared" si="30"/>
        <v>23121001</v>
      </c>
      <c r="C1003" s="9" t="str">
        <f>VLOOKUP(B1003,COA!A:B,2,FALSE)</f>
        <v>IHC Clearing - Outgoing Payment</v>
      </c>
      <c r="D1003" s="338" t="str">
        <f t="shared" si="31"/>
        <v>C234</v>
      </c>
      <c r="E1003" s="338" t="s">
        <v>6886</v>
      </c>
      <c r="G1003" s="338">
        <v>0</v>
      </c>
      <c r="H1003" s="204" t="s">
        <v>77</v>
      </c>
      <c r="I1003" s="204" t="s">
        <v>7363</v>
      </c>
    </row>
    <row r="1004" spans="1:9" x14ac:dyDescent="0.25">
      <c r="A1004" s="204" t="s">
        <v>1055</v>
      </c>
      <c r="B1004" s="9" t="str">
        <f t="shared" si="30"/>
        <v>23121002</v>
      </c>
      <c r="C1004" s="9" t="str">
        <f>VLOOKUP(B1004,COA!A:B,2,FALSE)</f>
        <v>IHC Clearing - Incoming Payment</v>
      </c>
      <c r="D1004" s="338" t="str">
        <f t="shared" si="31"/>
        <v>C234</v>
      </c>
      <c r="E1004" s="338" t="s">
        <v>6886</v>
      </c>
      <c r="G1004" s="338">
        <v>0</v>
      </c>
      <c r="H1004" s="204" t="s">
        <v>77</v>
      </c>
      <c r="I1004" s="204" t="s">
        <v>7363</v>
      </c>
    </row>
    <row r="1005" spans="1:9" x14ac:dyDescent="0.25">
      <c r="A1005" s="204" t="s">
        <v>1056</v>
      </c>
      <c r="B1005" s="9" t="str">
        <f t="shared" si="30"/>
        <v>23121003</v>
      </c>
      <c r="C1005" s="9" t="str">
        <f>VLOOKUP(B1005,COA!A:B,2,FALSE)</f>
        <v>In-House Cash Center - Payment Clearing</v>
      </c>
      <c r="D1005" s="338" t="str">
        <f t="shared" si="31"/>
        <v>C234</v>
      </c>
      <c r="E1005" s="338" t="s">
        <v>6886</v>
      </c>
      <c r="G1005" s="338">
        <v>0</v>
      </c>
      <c r="H1005" s="204" t="s">
        <v>77</v>
      </c>
      <c r="I1005" s="204" t="s">
        <v>7363</v>
      </c>
    </row>
    <row r="1006" spans="1:9" x14ac:dyDescent="0.25">
      <c r="A1006" s="204" t="s">
        <v>1057</v>
      </c>
      <c r="B1006" s="9" t="str">
        <f t="shared" si="30"/>
        <v>23121004</v>
      </c>
      <c r="C1006" s="9" t="str">
        <f>VLOOKUP(B1006,COA!A:B,2,FALSE)</f>
        <v>In-House Cash Center - Clearing Account</v>
      </c>
      <c r="D1006" s="338" t="str">
        <f t="shared" si="31"/>
        <v>C234</v>
      </c>
      <c r="E1006" s="338" t="s">
        <v>6886</v>
      </c>
      <c r="G1006" s="338">
        <v>0</v>
      </c>
      <c r="H1006" s="204" t="s">
        <v>77</v>
      </c>
      <c r="I1006" s="204" t="s">
        <v>7363</v>
      </c>
    </row>
    <row r="1007" spans="1:9" x14ac:dyDescent="0.25">
      <c r="A1007" s="204" t="s">
        <v>1058</v>
      </c>
      <c r="B1007" s="9" t="str">
        <f t="shared" si="30"/>
        <v>23121005</v>
      </c>
      <c r="C1007" s="9" t="str">
        <f>VLOOKUP(B1007,COA!A:B,2,FALSE)</f>
        <v>IHC Clearing - Intermediate</v>
      </c>
      <c r="D1007" s="338" t="str">
        <f t="shared" si="31"/>
        <v>C234</v>
      </c>
      <c r="E1007" s="338" t="s">
        <v>6886</v>
      </c>
      <c r="G1007" s="338">
        <v>0</v>
      </c>
      <c r="H1007" s="204" t="s">
        <v>77</v>
      </c>
      <c r="I1007" s="204" t="s">
        <v>7363</v>
      </c>
    </row>
    <row r="1008" spans="1:9" x14ac:dyDescent="0.25">
      <c r="A1008" s="204" t="s">
        <v>1059</v>
      </c>
      <c r="B1008" s="9" t="str">
        <f t="shared" si="30"/>
        <v>23121006</v>
      </c>
      <c r="C1008" s="9" t="str">
        <f>VLOOKUP(B1008,COA!A:B,2,FALSE)</f>
        <v>IHC Clearing - Other</v>
      </c>
      <c r="D1008" s="338" t="str">
        <f t="shared" si="31"/>
        <v>C234</v>
      </c>
      <c r="E1008" s="338" t="s">
        <v>6886</v>
      </c>
      <c r="G1008" s="338">
        <v>0</v>
      </c>
      <c r="H1008" s="204" t="s">
        <v>77</v>
      </c>
      <c r="I1008" s="204" t="s">
        <v>7363</v>
      </c>
    </row>
    <row r="1009" spans="1:9" x14ac:dyDescent="0.25">
      <c r="A1009" s="204" t="s">
        <v>1060</v>
      </c>
      <c r="B1009" s="9" t="str">
        <f t="shared" si="30"/>
        <v>23129000</v>
      </c>
      <c r="C1009" s="9" t="str">
        <f>VLOOKUP(B1009,COA!A:B,2,FALSE)</f>
        <v>N/P Assoc Cos - Loan Clearing</v>
      </c>
      <c r="D1009" s="338" t="str">
        <f t="shared" si="31"/>
        <v>C234</v>
      </c>
      <c r="E1009" s="338" t="s">
        <v>6886</v>
      </c>
      <c r="G1009" s="338">
        <v>0</v>
      </c>
      <c r="H1009" s="204" t="s">
        <v>77</v>
      </c>
      <c r="I1009" s="204" t="s">
        <v>7363</v>
      </c>
    </row>
    <row r="1010" spans="1:9" x14ac:dyDescent="0.25">
      <c r="A1010" s="204" t="s">
        <v>1061</v>
      </c>
      <c r="B1010" s="9" t="str">
        <f t="shared" si="30"/>
        <v>23130000</v>
      </c>
      <c r="C1010" s="9" t="str">
        <f>VLOOKUP(B1010,COA!A:B,2,FALSE)</f>
        <v>N/P Revolving Credit Line</v>
      </c>
      <c r="D1010" s="338" t="str">
        <f t="shared" si="31"/>
        <v>C232</v>
      </c>
      <c r="E1010" s="338" t="s">
        <v>6886</v>
      </c>
      <c r="G1010" s="338">
        <v>0</v>
      </c>
      <c r="H1010" s="204" t="s">
        <v>77</v>
      </c>
      <c r="I1010" s="204" t="s">
        <v>7409</v>
      </c>
    </row>
    <row r="1011" spans="1:9" x14ac:dyDescent="0.25">
      <c r="A1011" s="204" t="s">
        <v>1062</v>
      </c>
      <c r="B1011" s="9" t="str">
        <f t="shared" si="30"/>
        <v>23410000</v>
      </c>
      <c r="C1011" s="9" t="str">
        <f>VLOOKUP(B1011,COA!A:B,2,FALSE)</f>
        <v>A/P - Reconciliation Account</v>
      </c>
      <c r="D1011" s="338" t="str">
        <f t="shared" si="31"/>
        <v>C231</v>
      </c>
      <c r="E1011" s="338" t="s">
        <v>6886</v>
      </c>
      <c r="G1011" s="338">
        <v>0</v>
      </c>
      <c r="H1011" s="204" t="s">
        <v>77</v>
      </c>
      <c r="I1011" s="204" t="s">
        <v>7410</v>
      </c>
    </row>
    <row r="1012" spans="1:9" x14ac:dyDescent="0.25">
      <c r="A1012" s="204" t="s">
        <v>1063</v>
      </c>
      <c r="B1012" s="9" t="str">
        <f t="shared" si="30"/>
        <v>23410100</v>
      </c>
      <c r="C1012" s="9" t="str">
        <f>VLOOKUP(B1012,COA!A:B,2,FALSE)</f>
        <v>A/P Intercompany - Reconciliation Account</v>
      </c>
      <c r="D1012" s="338" t="str">
        <f t="shared" si="31"/>
        <v>C233</v>
      </c>
      <c r="E1012" s="338" t="s">
        <v>6886</v>
      </c>
      <c r="G1012" s="338">
        <v>0</v>
      </c>
      <c r="H1012" s="204" t="s">
        <v>77</v>
      </c>
      <c r="I1012" s="204" t="s">
        <v>7411</v>
      </c>
    </row>
    <row r="1013" spans="1:9" x14ac:dyDescent="0.25">
      <c r="A1013" s="204" t="s">
        <v>1064</v>
      </c>
      <c r="B1013" s="9" t="str">
        <f t="shared" si="30"/>
        <v>23410999</v>
      </c>
      <c r="C1013" s="9" t="str">
        <f>VLOOKUP(B1013,COA!A:B,2,FALSE)</f>
        <v>A/P - Conversion</v>
      </c>
      <c r="D1013" s="338" t="str">
        <f t="shared" si="31"/>
        <v>C231</v>
      </c>
      <c r="E1013" s="338" t="s">
        <v>6886</v>
      </c>
      <c r="G1013" s="338">
        <v>0</v>
      </c>
      <c r="H1013" s="204" t="s">
        <v>77</v>
      </c>
      <c r="I1013" s="204" t="s">
        <v>7410</v>
      </c>
    </row>
    <row r="1014" spans="1:9" x14ac:dyDescent="0.25">
      <c r="A1014" s="204" t="s">
        <v>1065</v>
      </c>
      <c r="B1014" s="9" t="str">
        <f t="shared" si="30"/>
        <v>23411000</v>
      </c>
      <c r="C1014" s="9" t="str">
        <f>VLOOKUP(B1014,COA!A:B,2,FALSE)</f>
        <v>A/P - Pcard</v>
      </c>
      <c r="D1014" s="338" t="str">
        <f t="shared" si="31"/>
        <v>C231</v>
      </c>
      <c r="E1014" s="338" t="s">
        <v>6886</v>
      </c>
      <c r="G1014" s="338">
        <v>0</v>
      </c>
      <c r="H1014" s="204" t="s">
        <v>77</v>
      </c>
      <c r="I1014" s="204" t="s">
        <v>7410</v>
      </c>
    </row>
    <row r="1015" spans="1:9" x14ac:dyDescent="0.25">
      <c r="A1015" s="204" t="s">
        <v>1066</v>
      </c>
      <c r="B1015" s="9" t="str">
        <f t="shared" si="30"/>
        <v>23411001</v>
      </c>
      <c r="C1015" s="9" t="str">
        <f>VLOOKUP(B1015,COA!A:B,2,FALSE)</f>
        <v>PCard Distributed-Clearing for Mapped Transactions</v>
      </c>
      <c r="D1015" s="338" t="str">
        <f t="shared" si="31"/>
        <v>C231</v>
      </c>
      <c r="E1015" s="338" t="s">
        <v>6886</v>
      </c>
      <c r="G1015" s="338">
        <v>0</v>
      </c>
      <c r="H1015" s="204" t="s">
        <v>77</v>
      </c>
      <c r="I1015" s="204" t="s">
        <v>7410</v>
      </c>
    </row>
    <row r="1016" spans="1:9" x14ac:dyDescent="0.25">
      <c r="A1016" s="204" t="s">
        <v>1067</v>
      </c>
      <c r="B1016" s="9" t="str">
        <f t="shared" si="30"/>
        <v>23411400</v>
      </c>
      <c r="C1016" s="9" t="str">
        <f>VLOOKUP(B1016,COA!A:B,2,FALSE)</f>
        <v>A/P - Gcard Clearing</v>
      </c>
      <c r="D1016" s="338" t="str">
        <f t="shared" si="31"/>
        <v>C231</v>
      </c>
      <c r="E1016" s="338" t="s">
        <v>6886</v>
      </c>
      <c r="G1016" s="338">
        <v>0</v>
      </c>
      <c r="H1016" s="204" t="s">
        <v>77</v>
      </c>
      <c r="I1016" s="204" t="s">
        <v>7410</v>
      </c>
    </row>
    <row r="1017" spans="1:9" x14ac:dyDescent="0.25">
      <c r="A1017" s="204" t="s">
        <v>1068</v>
      </c>
      <c r="B1017" s="9" t="str">
        <f t="shared" si="30"/>
        <v>23411500</v>
      </c>
      <c r="C1017" s="9" t="str">
        <f>VLOOKUP(B1017,COA!A:B,2,FALSE)</f>
        <v>A/P - Pcard Clearing</v>
      </c>
      <c r="D1017" s="338" t="str">
        <f t="shared" si="31"/>
        <v>C231</v>
      </c>
      <c r="E1017" s="338" t="s">
        <v>6886</v>
      </c>
      <c r="G1017" s="338">
        <v>0</v>
      </c>
      <c r="H1017" s="204" t="s">
        <v>77</v>
      </c>
      <c r="I1017" s="204" t="s">
        <v>7410</v>
      </c>
    </row>
    <row r="1018" spans="1:9" x14ac:dyDescent="0.25">
      <c r="A1018" s="204" t="s">
        <v>1069</v>
      </c>
      <c r="B1018" s="9" t="str">
        <f t="shared" si="30"/>
        <v>23412000</v>
      </c>
      <c r="C1018" s="9" t="str">
        <f>VLOOKUP(B1018,COA!A:B,2,FALSE)</f>
        <v>A/P Clearing</v>
      </c>
      <c r="D1018" s="338" t="str">
        <f t="shared" si="31"/>
        <v>C231</v>
      </c>
      <c r="E1018" s="338" t="s">
        <v>6886</v>
      </c>
      <c r="G1018" s="338">
        <v>0</v>
      </c>
      <c r="H1018" s="204" t="s">
        <v>77</v>
      </c>
      <c r="I1018" s="204" t="s">
        <v>7410</v>
      </c>
    </row>
    <row r="1019" spans="1:9" x14ac:dyDescent="0.25">
      <c r="A1019" s="204" t="s">
        <v>1070</v>
      </c>
      <c r="B1019" s="9" t="str">
        <f t="shared" si="30"/>
        <v>23412200</v>
      </c>
      <c r="C1019" s="9" t="str">
        <f>VLOOKUP(B1019,COA!A:B,2,FALSE)</f>
        <v>A/P - Contracted Services</v>
      </c>
      <c r="D1019" s="338" t="str">
        <f t="shared" si="31"/>
        <v>C231</v>
      </c>
      <c r="E1019" s="338" t="s">
        <v>6886</v>
      </c>
      <c r="G1019" s="338">
        <v>0</v>
      </c>
      <c r="H1019" s="204" t="s">
        <v>77</v>
      </c>
      <c r="I1019" s="204" t="s">
        <v>7410</v>
      </c>
    </row>
    <row r="1020" spans="1:9" x14ac:dyDescent="0.25">
      <c r="A1020" s="204" t="s">
        <v>1071</v>
      </c>
      <c r="B1020" s="9" t="str">
        <f t="shared" si="30"/>
        <v>23412500</v>
      </c>
      <c r="C1020" s="9" t="str">
        <f>VLOOKUP(B1020,COA!A:B,2,FALSE)</f>
        <v>A/P - Phone Bills</v>
      </c>
      <c r="D1020" s="338" t="str">
        <f t="shared" si="31"/>
        <v>C231</v>
      </c>
      <c r="E1020" s="338" t="s">
        <v>6886</v>
      </c>
      <c r="G1020" s="338">
        <v>0</v>
      </c>
      <c r="H1020" s="204" t="s">
        <v>77</v>
      </c>
      <c r="I1020" s="204" t="s">
        <v>7410</v>
      </c>
    </row>
    <row r="1021" spans="1:9" x14ac:dyDescent="0.25">
      <c r="A1021" s="204" t="s">
        <v>1072</v>
      </c>
      <c r="B1021" s="9" t="str">
        <f t="shared" si="30"/>
        <v>23420000</v>
      </c>
      <c r="C1021" s="9" t="str">
        <f>VLOOKUP(B1021,COA!A:B,2,FALSE)</f>
        <v>A/P - Contract Retentions</v>
      </c>
      <c r="D1021" s="338" t="str">
        <f t="shared" si="31"/>
        <v>C231</v>
      </c>
      <c r="E1021" s="338" t="s">
        <v>6886</v>
      </c>
      <c r="G1021" s="338">
        <v>0</v>
      </c>
      <c r="H1021" s="204" t="s">
        <v>77</v>
      </c>
      <c r="I1021" s="204" t="s">
        <v>7410</v>
      </c>
    </row>
    <row r="1022" spans="1:9" x14ac:dyDescent="0.25">
      <c r="A1022" s="204" t="s">
        <v>1073</v>
      </c>
      <c r="B1022" s="9" t="str">
        <f t="shared" si="30"/>
        <v>23430000</v>
      </c>
      <c r="C1022" s="9" t="str">
        <f>VLOOKUP(B1022,COA!A:B,2,FALSE)</f>
        <v>A/P - Miscellaneous</v>
      </c>
      <c r="D1022" s="338" t="str">
        <f t="shared" si="31"/>
        <v>C231</v>
      </c>
      <c r="E1022" s="338" t="s">
        <v>6886</v>
      </c>
      <c r="G1022" s="338">
        <v>0</v>
      </c>
      <c r="H1022" s="204" t="s">
        <v>77</v>
      </c>
      <c r="I1022" s="204" t="s">
        <v>7410</v>
      </c>
    </row>
    <row r="1023" spans="1:9" x14ac:dyDescent="0.25">
      <c r="A1023" s="204" t="s">
        <v>1074</v>
      </c>
      <c r="B1023" s="9" t="str">
        <f t="shared" si="30"/>
        <v>23430600</v>
      </c>
      <c r="C1023" s="9" t="str">
        <f>VLOOKUP(B1023,COA!A:B,2,FALSE)</f>
        <v>A/P - Workbasket Accrual</v>
      </c>
      <c r="D1023" s="338" t="str">
        <f t="shared" si="31"/>
        <v>C231</v>
      </c>
      <c r="E1023" s="338" t="s">
        <v>6886</v>
      </c>
      <c r="G1023" s="338">
        <v>0</v>
      </c>
      <c r="H1023" s="204" t="s">
        <v>77</v>
      </c>
      <c r="I1023" s="204" t="s">
        <v>7410</v>
      </c>
    </row>
    <row r="1024" spans="1:9" x14ac:dyDescent="0.25">
      <c r="A1024" s="204" t="s">
        <v>1075</v>
      </c>
      <c r="B1024" s="9" t="str">
        <f t="shared" si="30"/>
        <v>23430700</v>
      </c>
      <c r="C1024" s="9" t="str">
        <f>VLOOKUP(B1024,COA!A:B,2,FALSE)</f>
        <v>A/P - Pcard Accrual</v>
      </c>
      <c r="D1024" s="338" t="str">
        <f t="shared" si="31"/>
        <v>C231</v>
      </c>
      <c r="E1024" s="338" t="s">
        <v>6886</v>
      </c>
      <c r="G1024" s="338">
        <v>0</v>
      </c>
      <c r="H1024" s="204" t="s">
        <v>77</v>
      </c>
      <c r="I1024" s="204" t="s">
        <v>7410</v>
      </c>
    </row>
    <row r="1025" spans="1:9" x14ac:dyDescent="0.25">
      <c r="A1025" s="204" t="s">
        <v>1076</v>
      </c>
      <c r="B1025" s="9" t="str">
        <f t="shared" ref="B1025:B1088" si="32">RIGHT(A1025,8)</f>
        <v>23430900</v>
      </c>
      <c r="C1025" s="9" t="str">
        <f>VLOOKUP(B1025,COA!A:B,2,FALSE)</f>
        <v>A/P - PNC Loan Clearing</v>
      </c>
      <c r="D1025" s="338" t="str">
        <f t="shared" si="31"/>
        <v>C231</v>
      </c>
      <c r="E1025" s="338" t="s">
        <v>6886</v>
      </c>
      <c r="G1025" s="338">
        <v>0</v>
      </c>
      <c r="H1025" s="204" t="s">
        <v>77</v>
      </c>
      <c r="I1025" s="204" t="s">
        <v>7410</v>
      </c>
    </row>
    <row r="1026" spans="1:9" x14ac:dyDescent="0.25">
      <c r="A1026" s="204" t="s">
        <v>1077</v>
      </c>
      <c r="B1026" s="9" t="str">
        <f t="shared" si="32"/>
        <v>23431000</v>
      </c>
      <c r="C1026" s="9" t="str">
        <f>VLOOKUP(B1026,COA!A:B,2,FALSE)</f>
        <v>A/P - Misc Global</v>
      </c>
      <c r="D1026" s="338" t="str">
        <f t="shared" si="31"/>
        <v>C231</v>
      </c>
      <c r="E1026" s="338" t="s">
        <v>6886</v>
      </c>
      <c r="G1026" s="338">
        <v>0</v>
      </c>
      <c r="H1026" s="204" t="s">
        <v>77</v>
      </c>
      <c r="I1026" s="204" t="s">
        <v>7410</v>
      </c>
    </row>
    <row r="1027" spans="1:9" x14ac:dyDescent="0.25">
      <c r="A1027" s="204" t="s">
        <v>1078</v>
      </c>
      <c r="B1027" s="9" t="str">
        <f t="shared" si="32"/>
        <v>23435000</v>
      </c>
      <c r="C1027" s="9" t="str">
        <f>VLOOKUP(B1027,COA!A:B,2,FALSE)</f>
        <v>A/P - Project Cost Accrual</v>
      </c>
      <c r="D1027" s="338" t="str">
        <f t="shared" si="31"/>
        <v>C231</v>
      </c>
      <c r="E1027" s="338" t="s">
        <v>6886</v>
      </c>
      <c r="G1027" s="338">
        <v>0</v>
      </c>
      <c r="H1027" s="204" t="s">
        <v>77</v>
      </c>
      <c r="I1027" s="204" t="s">
        <v>7410</v>
      </c>
    </row>
    <row r="1028" spans="1:9" x14ac:dyDescent="0.25">
      <c r="A1028" s="204" t="s">
        <v>1079</v>
      </c>
      <c r="B1028" s="9" t="str">
        <f t="shared" si="32"/>
        <v>23436000</v>
      </c>
      <c r="C1028" s="9" t="str">
        <f>VLOOKUP(B1028,COA!A:B,2,FALSE)</f>
        <v>A/P-GRIR Capital Services</v>
      </c>
      <c r="D1028" s="338" t="str">
        <f t="shared" si="31"/>
        <v>C231</v>
      </c>
      <c r="E1028" s="338" t="s">
        <v>6886</v>
      </c>
      <c r="G1028" s="338">
        <v>0</v>
      </c>
      <c r="H1028" s="204" t="s">
        <v>77</v>
      </c>
      <c r="I1028" s="204" t="s">
        <v>7410</v>
      </c>
    </row>
    <row r="1029" spans="1:9" x14ac:dyDescent="0.25">
      <c r="A1029" s="204" t="s">
        <v>1080</v>
      </c>
      <c r="B1029" s="9" t="str">
        <f t="shared" si="32"/>
        <v>23439000</v>
      </c>
      <c r="C1029" s="9" t="str">
        <f>VLOOKUP(B1029,COA!A:B,2,FALSE)</f>
        <v>A/P - Income Taxes Withheld</v>
      </c>
      <c r="D1029" s="338" t="str">
        <f t="shared" si="31"/>
        <v>C231</v>
      </c>
      <c r="E1029" s="338" t="s">
        <v>6886</v>
      </c>
      <c r="G1029" s="338">
        <v>0</v>
      </c>
      <c r="H1029" s="204" t="s">
        <v>77</v>
      </c>
      <c r="I1029" s="204" t="s">
        <v>7410</v>
      </c>
    </row>
    <row r="1030" spans="1:9" x14ac:dyDescent="0.25">
      <c r="A1030" s="204" t="s">
        <v>1081</v>
      </c>
      <c r="B1030" s="9" t="str">
        <f t="shared" si="32"/>
        <v>23510000</v>
      </c>
      <c r="C1030" s="9" t="str">
        <f>VLOOKUP(B1030,COA!A:B,2,FALSE)</f>
        <v>A/P Associated Companies</v>
      </c>
      <c r="D1030" s="338" t="str">
        <f t="shared" si="31"/>
        <v>C233</v>
      </c>
      <c r="E1030" s="338" t="s">
        <v>6886</v>
      </c>
      <c r="G1030" s="338">
        <v>0</v>
      </c>
      <c r="H1030" s="204" t="s">
        <v>77</v>
      </c>
      <c r="I1030" s="204" t="s">
        <v>7411</v>
      </c>
    </row>
    <row r="1031" spans="1:9" x14ac:dyDescent="0.25">
      <c r="A1031" s="204" t="s">
        <v>1082</v>
      </c>
      <c r="B1031" s="9" t="str">
        <f t="shared" si="32"/>
        <v>23510500</v>
      </c>
      <c r="C1031" s="9" t="str">
        <f>VLOOKUP(B1031,COA!A:B,2,FALSE)</f>
        <v>A/P Associated Companies - Dividend Equivalents</v>
      </c>
      <c r="D1031" s="338" t="str">
        <f t="shared" si="31"/>
        <v>C233</v>
      </c>
      <c r="E1031" s="338" t="s">
        <v>6886</v>
      </c>
      <c r="G1031" s="338">
        <v>0</v>
      </c>
      <c r="H1031" s="204" t="s">
        <v>77</v>
      </c>
      <c r="I1031" s="204" t="s">
        <v>7411</v>
      </c>
    </row>
    <row r="1032" spans="1:9" x14ac:dyDescent="0.25">
      <c r="A1032" s="204" t="s">
        <v>1083</v>
      </c>
      <c r="B1032" s="9" t="str">
        <f t="shared" si="32"/>
        <v>23510600</v>
      </c>
      <c r="C1032" s="9" t="str">
        <f>VLOOKUP(B1032,COA!A:B,2,FALSE)</f>
        <v>Intercompany System Clearing -CIS Only</v>
      </c>
      <c r="D1032" s="338" t="str">
        <f t="shared" si="31"/>
        <v>C233</v>
      </c>
      <c r="E1032" s="338" t="s">
        <v>6886</v>
      </c>
      <c r="G1032" s="338">
        <v>0</v>
      </c>
      <c r="H1032" s="204" t="s">
        <v>77</v>
      </c>
      <c r="I1032" s="204" t="s">
        <v>7411</v>
      </c>
    </row>
    <row r="1033" spans="1:9" x14ac:dyDescent="0.25">
      <c r="A1033" s="204" t="s">
        <v>1084</v>
      </c>
      <c r="B1033" s="9" t="str">
        <f t="shared" si="32"/>
        <v>23520000</v>
      </c>
      <c r="C1033" s="9" t="str">
        <f>VLOOKUP(B1033,COA!A:B,2,FALSE)</f>
        <v>A/P Associated Companies - Service Co Bill</v>
      </c>
      <c r="D1033" s="338" t="str">
        <f t="shared" si="31"/>
        <v>C233</v>
      </c>
      <c r="E1033" s="338" t="s">
        <v>6886</v>
      </c>
      <c r="G1033" s="338">
        <v>0</v>
      </c>
      <c r="H1033" s="204" t="s">
        <v>77</v>
      </c>
      <c r="I1033" s="204" t="s">
        <v>7411</v>
      </c>
    </row>
    <row r="1034" spans="1:9" x14ac:dyDescent="0.25">
      <c r="A1034" s="204" t="s">
        <v>1085</v>
      </c>
      <c r="B1034" s="9" t="str">
        <f t="shared" si="32"/>
        <v>23520001</v>
      </c>
      <c r="C1034" s="9" t="str">
        <f>VLOOKUP(B1034,COA!A:B,2,FALSE)</f>
        <v>A/P Associated Companies - Service Co Bill</v>
      </c>
      <c r="D1034" s="338" t="str">
        <f t="shared" si="31"/>
        <v>C233</v>
      </c>
      <c r="E1034" s="338" t="s">
        <v>6886</v>
      </c>
      <c r="G1034" s="338">
        <v>0</v>
      </c>
      <c r="H1034" s="204" t="s">
        <v>77</v>
      </c>
      <c r="I1034" s="204" t="s">
        <v>7411</v>
      </c>
    </row>
    <row r="1035" spans="1:9" x14ac:dyDescent="0.25">
      <c r="A1035" s="204" t="s">
        <v>1086</v>
      </c>
      <c r="B1035" s="9" t="str">
        <f t="shared" si="32"/>
        <v>23530000</v>
      </c>
      <c r="C1035" s="9" t="str">
        <f>VLOOKUP(B1035,COA!A:B,2,FALSE)</f>
        <v>CFO - WLPP Interco</v>
      </c>
      <c r="D1035" s="338" t="str">
        <f t="shared" ref="D1035:D1098" si="33">+I1035</f>
        <v>C233</v>
      </c>
      <c r="E1035" s="338" t="s">
        <v>6886</v>
      </c>
      <c r="G1035" s="338">
        <v>0</v>
      </c>
      <c r="H1035" s="204" t="s">
        <v>77</v>
      </c>
      <c r="I1035" s="204" t="s">
        <v>7411</v>
      </c>
    </row>
    <row r="1036" spans="1:9" x14ac:dyDescent="0.25">
      <c r="A1036" s="204" t="s">
        <v>1087</v>
      </c>
      <c r="B1036" s="9" t="str">
        <f t="shared" si="32"/>
        <v>23530100</v>
      </c>
      <c r="C1036" s="9" t="str">
        <f>VLOOKUP(B1036,COA!A:B,2,FALSE)</f>
        <v>CFO - SLPP Interco</v>
      </c>
      <c r="D1036" s="338" t="str">
        <f t="shared" si="33"/>
        <v>C233</v>
      </c>
      <c r="E1036" s="338" t="s">
        <v>6886</v>
      </c>
      <c r="G1036" s="338">
        <v>0</v>
      </c>
      <c r="H1036" s="204" t="s">
        <v>77</v>
      </c>
      <c r="I1036" s="204" t="s">
        <v>7411</v>
      </c>
    </row>
    <row r="1037" spans="1:9" x14ac:dyDescent="0.25">
      <c r="A1037" s="204" t="s">
        <v>1088</v>
      </c>
      <c r="B1037" s="9" t="str">
        <f t="shared" si="32"/>
        <v>23530200</v>
      </c>
      <c r="C1037" s="9" t="str">
        <f>VLOOKUP(B1037,COA!A:B,2,FALSE)</f>
        <v>CFO - InHome Interco</v>
      </c>
      <c r="D1037" s="338" t="str">
        <f t="shared" si="33"/>
        <v>C233</v>
      </c>
      <c r="E1037" s="338" t="s">
        <v>6886</v>
      </c>
      <c r="G1037" s="338">
        <v>0</v>
      </c>
      <c r="H1037" s="204" t="s">
        <v>77</v>
      </c>
      <c r="I1037" s="204" t="s">
        <v>7411</v>
      </c>
    </row>
    <row r="1038" spans="1:9" x14ac:dyDescent="0.25">
      <c r="A1038" s="204" t="s">
        <v>1089</v>
      </c>
      <c r="B1038" s="9" t="str">
        <f t="shared" si="32"/>
        <v>23530300</v>
      </c>
      <c r="C1038" s="9" t="str">
        <f>VLOOKUP(B1038,COA!A:B,2,FALSE)</f>
        <v>CFO - WLPP/SLPP Interco</v>
      </c>
      <c r="D1038" s="338" t="str">
        <f t="shared" si="33"/>
        <v>C233</v>
      </c>
      <c r="E1038" s="338" t="s">
        <v>6886</v>
      </c>
      <c r="G1038" s="338">
        <v>0</v>
      </c>
      <c r="H1038" s="204" t="s">
        <v>77</v>
      </c>
      <c r="I1038" s="204" t="s">
        <v>7411</v>
      </c>
    </row>
    <row r="1039" spans="1:9" x14ac:dyDescent="0.25">
      <c r="A1039" s="204" t="s">
        <v>1090</v>
      </c>
      <c r="B1039" s="9" t="str">
        <f t="shared" si="32"/>
        <v>23530400</v>
      </c>
      <c r="C1039" s="9" t="str">
        <f>VLOOKUP(B1039,COA!A:B,2,FALSE)</f>
        <v>CFO - WLPP/SLPP/InHome Interco</v>
      </c>
      <c r="D1039" s="338" t="str">
        <f t="shared" si="33"/>
        <v>C233</v>
      </c>
      <c r="E1039" s="338" t="s">
        <v>6886</v>
      </c>
      <c r="G1039" s="338">
        <v>0</v>
      </c>
      <c r="H1039" s="204" t="s">
        <v>77</v>
      </c>
      <c r="I1039" s="204" t="s">
        <v>7411</v>
      </c>
    </row>
    <row r="1040" spans="1:9" x14ac:dyDescent="0.25">
      <c r="A1040" s="204" t="s">
        <v>1091</v>
      </c>
      <c r="B1040" s="9" t="str">
        <f t="shared" si="32"/>
        <v>23530500</v>
      </c>
      <c r="C1040" s="9" t="str">
        <f>VLOOKUP(B1040,COA!A:B,2,FALSE)</f>
        <v>CFO - Leak Detection Protection Plan Interco</v>
      </c>
      <c r="D1040" s="338" t="str">
        <f t="shared" si="33"/>
        <v>C233</v>
      </c>
      <c r="E1040" s="338" t="s">
        <v>6886</v>
      </c>
      <c r="G1040" s="338">
        <v>0</v>
      </c>
      <c r="H1040" s="204" t="s">
        <v>77</v>
      </c>
      <c r="I1040" s="204" t="s">
        <v>7411</v>
      </c>
    </row>
    <row r="1041" spans="1:9" x14ac:dyDescent="0.25">
      <c r="A1041" s="204" t="s">
        <v>1092</v>
      </c>
      <c r="B1041" s="9" t="str">
        <f t="shared" si="32"/>
        <v>23530600</v>
      </c>
      <c r="C1041" s="9" t="str">
        <f>VLOOKUP(B1041,COA!A:B,2,FALSE)</f>
        <v>CFO - Water Heater Protection Plan Interco</v>
      </c>
      <c r="D1041" s="338" t="str">
        <f t="shared" si="33"/>
        <v>C233</v>
      </c>
      <c r="E1041" s="338" t="s">
        <v>6886</v>
      </c>
      <c r="G1041" s="338">
        <v>0</v>
      </c>
      <c r="H1041" s="204" t="s">
        <v>77</v>
      </c>
      <c r="I1041" s="204" t="s">
        <v>7411</v>
      </c>
    </row>
    <row r="1042" spans="1:9" x14ac:dyDescent="0.25">
      <c r="A1042" s="204" t="s">
        <v>1093</v>
      </c>
      <c r="B1042" s="9" t="str">
        <f t="shared" si="32"/>
        <v>23540000</v>
      </c>
      <c r="C1042" s="9" t="str">
        <f>VLOOKUP(B1042,COA!A:B,2,FALSE)</f>
        <v>CFO - WLPP Receivable Interco</v>
      </c>
      <c r="D1042" s="338" t="str">
        <f t="shared" si="33"/>
        <v>C233</v>
      </c>
      <c r="E1042" s="338" t="s">
        <v>6886</v>
      </c>
      <c r="G1042" s="338">
        <v>0</v>
      </c>
      <c r="H1042" s="204" t="s">
        <v>77</v>
      </c>
      <c r="I1042" s="204" t="s">
        <v>7411</v>
      </c>
    </row>
    <row r="1043" spans="1:9" x14ac:dyDescent="0.25">
      <c r="A1043" s="204" t="s">
        <v>1094</v>
      </c>
      <c r="B1043" s="9" t="str">
        <f t="shared" si="32"/>
        <v>23540001</v>
      </c>
      <c r="C1043" s="9" t="str">
        <f>VLOOKUP(B1043,COA!A:B,2,FALSE)</f>
        <v>CFO - WLPP Receivable Interco - CIS Reconciliation</v>
      </c>
      <c r="D1043" s="338" t="str">
        <f t="shared" si="33"/>
        <v>C233</v>
      </c>
      <c r="E1043" s="338" t="s">
        <v>6886</v>
      </c>
      <c r="G1043" s="338">
        <v>0</v>
      </c>
      <c r="H1043" s="204" t="s">
        <v>77</v>
      </c>
      <c r="I1043" s="204" t="s">
        <v>7411</v>
      </c>
    </row>
    <row r="1044" spans="1:9" x14ac:dyDescent="0.25">
      <c r="A1044" s="204" t="s">
        <v>1095</v>
      </c>
      <c r="B1044" s="9" t="str">
        <f t="shared" si="32"/>
        <v>23540100</v>
      </c>
      <c r="C1044" s="9" t="str">
        <f>VLOOKUP(B1044,COA!A:B,2,FALSE)</f>
        <v>CFO - SLPP Receivable Interco</v>
      </c>
      <c r="D1044" s="338" t="str">
        <f t="shared" si="33"/>
        <v>C233</v>
      </c>
      <c r="E1044" s="338" t="s">
        <v>6886</v>
      </c>
      <c r="G1044" s="338">
        <v>0</v>
      </c>
      <c r="H1044" s="204" t="s">
        <v>77</v>
      </c>
      <c r="I1044" s="204" t="s">
        <v>7411</v>
      </c>
    </row>
    <row r="1045" spans="1:9" x14ac:dyDescent="0.25">
      <c r="A1045" s="204" t="s">
        <v>1096</v>
      </c>
      <c r="B1045" s="9" t="str">
        <f t="shared" si="32"/>
        <v>23540101</v>
      </c>
      <c r="C1045" s="9" t="str">
        <f>VLOOKUP(B1045,COA!A:B,2,FALSE)</f>
        <v>CFO - SLPP Receivable Interco - CIS Reconciliation</v>
      </c>
      <c r="D1045" s="338" t="str">
        <f t="shared" si="33"/>
        <v>C233</v>
      </c>
      <c r="E1045" s="338" t="s">
        <v>6886</v>
      </c>
      <c r="G1045" s="338">
        <v>0</v>
      </c>
      <c r="H1045" s="204" t="s">
        <v>77</v>
      </c>
      <c r="I1045" s="204" t="s">
        <v>7411</v>
      </c>
    </row>
    <row r="1046" spans="1:9" x14ac:dyDescent="0.25">
      <c r="A1046" s="204" t="s">
        <v>1097</v>
      </c>
      <c r="B1046" s="9" t="str">
        <f t="shared" si="32"/>
        <v>23540200</v>
      </c>
      <c r="C1046" s="9" t="str">
        <f>VLOOKUP(B1046,COA!A:B,2,FALSE)</f>
        <v>CFO - InHome Receivable Interco</v>
      </c>
      <c r="D1046" s="338" t="str">
        <f t="shared" si="33"/>
        <v>C233</v>
      </c>
      <c r="E1046" s="338" t="s">
        <v>6886</v>
      </c>
      <c r="G1046" s="338">
        <v>0</v>
      </c>
      <c r="H1046" s="204" t="s">
        <v>77</v>
      </c>
      <c r="I1046" s="204" t="s">
        <v>7411</v>
      </c>
    </row>
    <row r="1047" spans="1:9" x14ac:dyDescent="0.25">
      <c r="A1047" s="204" t="s">
        <v>1098</v>
      </c>
      <c r="B1047" s="9" t="str">
        <f t="shared" si="32"/>
        <v>23540201</v>
      </c>
      <c r="C1047" s="9" t="str">
        <f>VLOOKUP(B1047,COA!A:B,2,FALSE)</f>
        <v>CFO - InHome Receivable I/C - CIS Reconciliation</v>
      </c>
      <c r="D1047" s="338" t="str">
        <f t="shared" si="33"/>
        <v>C233</v>
      </c>
      <c r="E1047" s="338" t="s">
        <v>6886</v>
      </c>
      <c r="G1047" s="338">
        <v>0</v>
      </c>
      <c r="H1047" s="204" t="s">
        <v>77</v>
      </c>
      <c r="I1047" s="204" t="s">
        <v>7411</v>
      </c>
    </row>
    <row r="1048" spans="1:9" x14ac:dyDescent="0.25">
      <c r="A1048" s="204" t="s">
        <v>1099</v>
      </c>
      <c r="B1048" s="9" t="str">
        <f t="shared" si="32"/>
        <v>23540300</v>
      </c>
      <c r="C1048" s="9" t="str">
        <f>VLOOKUP(B1048,COA!A:B,2,FALSE)</f>
        <v>CFO - WLPP/SLPP Receivable Interco</v>
      </c>
      <c r="D1048" s="338" t="str">
        <f t="shared" si="33"/>
        <v>C233</v>
      </c>
      <c r="E1048" s="338" t="s">
        <v>6886</v>
      </c>
      <c r="G1048" s="338">
        <v>0</v>
      </c>
      <c r="H1048" s="204" t="s">
        <v>77</v>
      </c>
      <c r="I1048" s="204" t="s">
        <v>7411</v>
      </c>
    </row>
    <row r="1049" spans="1:9" x14ac:dyDescent="0.25">
      <c r="A1049" s="204" t="s">
        <v>1100</v>
      </c>
      <c r="B1049" s="9" t="str">
        <f t="shared" si="32"/>
        <v>23540301</v>
      </c>
      <c r="C1049" s="9" t="str">
        <f>VLOOKUP(B1049,COA!A:B,2,FALSE)</f>
        <v>CFO - WLPP/SLPP Receivable I/C-CIS Reconciliation</v>
      </c>
      <c r="D1049" s="338" t="str">
        <f t="shared" si="33"/>
        <v>C233</v>
      </c>
      <c r="E1049" s="338" t="s">
        <v>6886</v>
      </c>
      <c r="G1049" s="338">
        <v>0</v>
      </c>
      <c r="H1049" s="204" t="s">
        <v>77</v>
      </c>
      <c r="I1049" s="204" t="s">
        <v>7411</v>
      </c>
    </row>
    <row r="1050" spans="1:9" x14ac:dyDescent="0.25">
      <c r="A1050" s="204" t="s">
        <v>1101</v>
      </c>
      <c r="B1050" s="9" t="str">
        <f t="shared" si="32"/>
        <v>23540400</v>
      </c>
      <c r="C1050" s="9" t="str">
        <f>VLOOKUP(B1050,COA!A:B,2,FALSE)</f>
        <v>CFO - WLPP/SLPP/InHome Receivable Interco</v>
      </c>
      <c r="D1050" s="338" t="str">
        <f t="shared" si="33"/>
        <v>C233</v>
      </c>
      <c r="E1050" s="338" t="s">
        <v>6886</v>
      </c>
      <c r="G1050" s="338">
        <v>0</v>
      </c>
      <c r="H1050" s="204" t="s">
        <v>77</v>
      </c>
      <c r="I1050" s="204" t="s">
        <v>7411</v>
      </c>
    </row>
    <row r="1051" spans="1:9" x14ac:dyDescent="0.25">
      <c r="A1051" s="204" t="s">
        <v>1102</v>
      </c>
      <c r="B1051" s="9" t="str">
        <f t="shared" si="32"/>
        <v>23540401</v>
      </c>
      <c r="C1051" s="9" t="str">
        <f>VLOOKUP(B1051,COA!A:B,2,FALSE)</f>
        <v>CFO - WLPP/SLPP/InHome Rec I/C-CIS Reconciliation</v>
      </c>
      <c r="D1051" s="338" t="str">
        <f t="shared" si="33"/>
        <v>C233</v>
      </c>
      <c r="E1051" s="338" t="s">
        <v>6886</v>
      </c>
      <c r="G1051" s="338">
        <v>0</v>
      </c>
      <c r="H1051" s="204" t="s">
        <v>77</v>
      </c>
      <c r="I1051" s="204" t="s">
        <v>7411</v>
      </c>
    </row>
    <row r="1052" spans="1:9" x14ac:dyDescent="0.25">
      <c r="A1052" s="204" t="s">
        <v>1103</v>
      </c>
      <c r="B1052" s="9" t="str">
        <f t="shared" si="32"/>
        <v>23540501</v>
      </c>
      <c r="C1052" s="9" t="str">
        <f>VLOOKUP(B1052,COA!A:B,2,FALSE)</f>
        <v>CFO - Leak Detection PP Interco-CIS Reconciliation</v>
      </c>
      <c r="D1052" s="338" t="str">
        <f t="shared" si="33"/>
        <v>C233</v>
      </c>
      <c r="E1052" s="338" t="s">
        <v>6886</v>
      </c>
      <c r="G1052" s="338">
        <v>0</v>
      </c>
      <c r="H1052" s="204" t="s">
        <v>77</v>
      </c>
      <c r="I1052" s="204" t="s">
        <v>7411</v>
      </c>
    </row>
    <row r="1053" spans="1:9" x14ac:dyDescent="0.25">
      <c r="A1053" s="204" t="s">
        <v>1104</v>
      </c>
      <c r="B1053" s="9" t="str">
        <f t="shared" si="32"/>
        <v>23540601</v>
      </c>
      <c r="C1053" s="9" t="str">
        <f>VLOOKUP(B1053,COA!A:B,2,FALSE)</f>
        <v>CFO - Water Heater PP Interco - CIS Reconciliation</v>
      </c>
      <c r="D1053" s="338" t="str">
        <f t="shared" si="33"/>
        <v>C233</v>
      </c>
      <c r="E1053" s="338" t="s">
        <v>6886</v>
      </c>
      <c r="G1053" s="338">
        <v>0</v>
      </c>
      <c r="H1053" s="204" t="s">
        <v>77</v>
      </c>
      <c r="I1053" s="204" t="s">
        <v>7411</v>
      </c>
    </row>
    <row r="1054" spans="1:9" x14ac:dyDescent="0.25">
      <c r="A1054" s="204" t="s">
        <v>1105</v>
      </c>
      <c r="B1054" s="9" t="str">
        <f t="shared" si="32"/>
        <v>23599999</v>
      </c>
      <c r="C1054" s="9" t="str">
        <f>VLOOKUP(B1054,COA!A:B,2,FALSE)</f>
        <v>Intercompany System Clearing</v>
      </c>
      <c r="D1054" s="338" t="str">
        <f t="shared" si="33"/>
        <v>C233</v>
      </c>
      <c r="E1054" s="338" t="s">
        <v>6886</v>
      </c>
      <c r="G1054" s="338">
        <v>0</v>
      </c>
      <c r="H1054" s="204" t="s">
        <v>77</v>
      </c>
      <c r="I1054" s="204" t="s">
        <v>7411</v>
      </c>
    </row>
    <row r="1055" spans="1:9" x14ac:dyDescent="0.25">
      <c r="A1055" s="204" t="s">
        <v>1106</v>
      </c>
      <c r="B1055" s="9" t="str">
        <f t="shared" si="32"/>
        <v>23621000</v>
      </c>
      <c r="C1055" s="9" t="str">
        <f>VLOOKUP(B1055,COA!A:B,2,FALSE)</f>
        <v>Accrued FIT - Current Year</v>
      </c>
      <c r="D1055" s="338" t="str">
        <f t="shared" si="33"/>
        <v>C23612</v>
      </c>
      <c r="E1055" s="338" t="s">
        <v>6886</v>
      </c>
      <c r="G1055" s="338">
        <v>0</v>
      </c>
      <c r="H1055" s="204" t="s">
        <v>77</v>
      </c>
      <c r="I1055" s="204" t="s">
        <v>7412</v>
      </c>
    </row>
    <row r="1056" spans="1:9" x14ac:dyDescent="0.25">
      <c r="A1056" s="204" t="s">
        <v>1107</v>
      </c>
      <c r="B1056" s="9" t="str">
        <f t="shared" si="32"/>
        <v>23621500</v>
      </c>
      <c r="C1056" s="9" t="str">
        <f>VLOOKUP(B1056,COA!A:B,2,FALSE)</f>
        <v>Accrued FIT - Current Year Unitary Returns</v>
      </c>
      <c r="D1056" s="338" t="str">
        <f t="shared" si="33"/>
        <v>C23612</v>
      </c>
      <c r="E1056" s="338" t="s">
        <v>6886</v>
      </c>
      <c r="G1056" s="338">
        <v>0</v>
      </c>
      <c r="H1056" s="204" t="s">
        <v>77</v>
      </c>
      <c r="I1056" s="204" t="s">
        <v>7412</v>
      </c>
    </row>
    <row r="1057" spans="1:9" x14ac:dyDescent="0.25">
      <c r="A1057" s="204" t="s">
        <v>1108</v>
      </c>
      <c r="B1057" s="9" t="str">
        <f t="shared" si="32"/>
        <v>23622000</v>
      </c>
      <c r="C1057" s="9" t="str">
        <f>VLOOKUP(B1057,COA!A:B,2,FALSE)</f>
        <v>Accrued FIT - Prior Years</v>
      </c>
      <c r="D1057" s="338" t="str">
        <f t="shared" si="33"/>
        <v>C23612</v>
      </c>
      <c r="E1057" s="338" t="s">
        <v>6886</v>
      </c>
      <c r="G1057" s="338">
        <v>0</v>
      </c>
      <c r="H1057" s="204" t="s">
        <v>77</v>
      </c>
      <c r="I1057" s="204" t="s">
        <v>7412</v>
      </c>
    </row>
    <row r="1058" spans="1:9" x14ac:dyDescent="0.25">
      <c r="A1058" s="204" t="s">
        <v>1109</v>
      </c>
      <c r="B1058" s="9" t="str">
        <f t="shared" si="32"/>
        <v>23622500</v>
      </c>
      <c r="C1058" s="9" t="str">
        <f>VLOOKUP(B1058,COA!A:B,2,FALSE)</f>
        <v>Accrued FIT - Prior Years Unitary Returns</v>
      </c>
      <c r="D1058" s="338" t="str">
        <f t="shared" si="33"/>
        <v>C23612</v>
      </c>
      <c r="E1058" s="338" t="s">
        <v>6886</v>
      </c>
      <c r="G1058" s="338">
        <v>0</v>
      </c>
      <c r="H1058" s="204" t="s">
        <v>77</v>
      </c>
      <c r="I1058" s="204" t="s">
        <v>7412</v>
      </c>
    </row>
    <row r="1059" spans="1:9" x14ac:dyDescent="0.25">
      <c r="A1059" s="204" t="s">
        <v>1110</v>
      </c>
      <c r="B1059" s="9" t="str">
        <f t="shared" si="32"/>
        <v>23631000</v>
      </c>
      <c r="C1059" s="9" t="str">
        <f>VLOOKUP(B1059,COA!A:B,2,FALSE)</f>
        <v>Accrued SIT - Current Year</v>
      </c>
      <c r="D1059" s="338" t="str">
        <f t="shared" si="33"/>
        <v>C23612</v>
      </c>
      <c r="E1059" s="338" t="s">
        <v>6886</v>
      </c>
      <c r="G1059" s="338">
        <v>0</v>
      </c>
      <c r="H1059" s="204" t="s">
        <v>77</v>
      </c>
      <c r="I1059" s="204" t="s">
        <v>7412</v>
      </c>
    </row>
    <row r="1060" spans="1:9" x14ac:dyDescent="0.25">
      <c r="A1060" s="204" t="s">
        <v>1111</v>
      </c>
      <c r="B1060" s="9" t="str">
        <f t="shared" si="32"/>
        <v>23631500</v>
      </c>
      <c r="C1060" s="9" t="str">
        <f>VLOOKUP(B1060,COA!A:B,2,FALSE)</f>
        <v>Accrued SIT - Current Year Unitary Returns</v>
      </c>
      <c r="D1060" s="338" t="str">
        <f t="shared" si="33"/>
        <v>C23612</v>
      </c>
      <c r="E1060" s="338" t="s">
        <v>6886</v>
      </c>
      <c r="G1060" s="338">
        <v>0</v>
      </c>
      <c r="H1060" s="204" t="s">
        <v>77</v>
      </c>
      <c r="I1060" s="204" t="s">
        <v>7412</v>
      </c>
    </row>
    <row r="1061" spans="1:9" x14ac:dyDescent="0.25">
      <c r="A1061" s="204" t="s">
        <v>1112</v>
      </c>
      <c r="B1061" s="9" t="str">
        <f t="shared" si="32"/>
        <v>23632000</v>
      </c>
      <c r="C1061" s="9" t="str">
        <f>VLOOKUP(B1061,COA!A:B,2,FALSE)</f>
        <v>Accrued SIT - Prior Years</v>
      </c>
      <c r="D1061" s="338" t="str">
        <f t="shared" si="33"/>
        <v>C23612</v>
      </c>
      <c r="E1061" s="338" t="s">
        <v>6886</v>
      </c>
      <c r="G1061" s="338">
        <v>0</v>
      </c>
      <c r="H1061" s="204" t="s">
        <v>77</v>
      </c>
      <c r="I1061" s="204" t="s">
        <v>7412</v>
      </c>
    </row>
    <row r="1062" spans="1:9" x14ac:dyDescent="0.25">
      <c r="A1062" s="204" t="s">
        <v>1113</v>
      </c>
      <c r="B1062" s="9" t="str">
        <f t="shared" si="32"/>
        <v>23632500</v>
      </c>
      <c r="C1062" s="9" t="str">
        <f>VLOOKUP(B1062,COA!A:B,2,FALSE)</f>
        <v>Accrued SIT - Prior Years - Unitary Returns</v>
      </c>
      <c r="D1062" s="338" t="str">
        <f t="shared" si="33"/>
        <v>C23612</v>
      </c>
      <c r="E1062" s="338" t="s">
        <v>6886</v>
      </c>
      <c r="G1062" s="338">
        <v>0</v>
      </c>
      <c r="H1062" s="204" t="s">
        <v>77</v>
      </c>
      <c r="I1062" s="204" t="s">
        <v>7412</v>
      </c>
    </row>
    <row r="1063" spans="1:9" x14ac:dyDescent="0.25">
      <c r="A1063" s="204" t="s">
        <v>1114</v>
      </c>
      <c r="B1063" s="9" t="str">
        <f t="shared" si="32"/>
        <v>23651000</v>
      </c>
      <c r="C1063" s="9" t="str">
        <f>VLOOKUP(B1063,COA!A:B,2,FALSE)</f>
        <v>Accrued Tax - Gross Income &amp; Receipts</v>
      </c>
      <c r="D1063" s="338" t="str">
        <f t="shared" si="33"/>
        <v>C23611</v>
      </c>
      <c r="E1063" s="338" t="s">
        <v>6886</v>
      </c>
      <c r="G1063" s="338">
        <v>0</v>
      </c>
      <c r="H1063" s="204" t="s">
        <v>77</v>
      </c>
      <c r="I1063" s="204" t="s">
        <v>7413</v>
      </c>
    </row>
    <row r="1064" spans="1:9" x14ac:dyDescent="0.25">
      <c r="A1064" s="204" t="s">
        <v>1115</v>
      </c>
      <c r="B1064" s="9" t="str">
        <f t="shared" si="32"/>
        <v>23651100</v>
      </c>
      <c r="C1064" s="9" t="str">
        <f>VLOOKUP(B1064,COA!A:B,2,FALSE)</f>
        <v>Accrued Tax - Gross Income &amp; Receipts-IncTax</v>
      </c>
      <c r="D1064" s="338" t="str">
        <f t="shared" si="33"/>
        <v>C23611</v>
      </c>
      <c r="E1064" s="338" t="s">
        <v>6886</v>
      </c>
      <c r="G1064" s="338">
        <v>0</v>
      </c>
      <c r="H1064" s="204" t="s">
        <v>77</v>
      </c>
      <c r="I1064" s="204" t="s">
        <v>7413</v>
      </c>
    </row>
    <row r="1065" spans="1:9" x14ac:dyDescent="0.25">
      <c r="A1065" s="204" t="s">
        <v>1116</v>
      </c>
      <c r="B1065" s="9" t="str">
        <f t="shared" si="32"/>
        <v>23652000</v>
      </c>
      <c r="C1065" s="9" t="str">
        <f>VLOOKUP(B1065,COA!A:B,2,FALSE)</f>
        <v>Accrued Tax - FUTA</v>
      </c>
      <c r="D1065" s="338" t="str">
        <f t="shared" si="33"/>
        <v>C23611</v>
      </c>
      <c r="E1065" s="338" t="s">
        <v>6886</v>
      </c>
      <c r="G1065" s="338">
        <v>0</v>
      </c>
      <c r="H1065" s="204" t="s">
        <v>77</v>
      </c>
      <c r="I1065" s="204" t="s">
        <v>7413</v>
      </c>
    </row>
    <row r="1066" spans="1:9" x14ac:dyDescent="0.25">
      <c r="A1066" s="204" t="s">
        <v>1117</v>
      </c>
      <c r="B1066" s="9" t="str">
        <f t="shared" si="32"/>
        <v>23652100</v>
      </c>
      <c r="C1066" s="9" t="str">
        <f>VLOOKUP(B1066,COA!A:B,2,FALSE)</f>
        <v>Accrued Tax - FICA</v>
      </c>
      <c r="D1066" s="338" t="str">
        <f t="shared" si="33"/>
        <v>C23611</v>
      </c>
      <c r="E1066" s="338" t="s">
        <v>6886</v>
      </c>
      <c r="G1066" s="338">
        <v>0</v>
      </c>
      <c r="H1066" s="204" t="s">
        <v>77</v>
      </c>
      <c r="I1066" s="204" t="s">
        <v>7413</v>
      </c>
    </row>
    <row r="1067" spans="1:9" x14ac:dyDescent="0.25">
      <c r="A1067" s="204" t="s">
        <v>1118</v>
      </c>
      <c r="B1067" s="9" t="str">
        <f t="shared" si="32"/>
        <v>23652200</v>
      </c>
      <c r="C1067" s="9" t="str">
        <f>VLOOKUP(B1067,COA!A:B,2,FALSE)</f>
        <v>Accrued Tax - SUTA</v>
      </c>
      <c r="D1067" s="338" t="str">
        <f t="shared" si="33"/>
        <v>C23611</v>
      </c>
      <c r="E1067" s="338" t="s">
        <v>6886</v>
      </c>
      <c r="G1067" s="338">
        <v>0</v>
      </c>
      <c r="H1067" s="204" t="s">
        <v>77</v>
      </c>
      <c r="I1067" s="204" t="s">
        <v>7413</v>
      </c>
    </row>
    <row r="1068" spans="1:9" x14ac:dyDescent="0.25">
      <c r="A1068" s="204" t="s">
        <v>1119</v>
      </c>
      <c r="B1068" s="9" t="str">
        <f t="shared" si="32"/>
        <v>23652300</v>
      </c>
      <c r="C1068" s="9" t="str">
        <f>VLOOKUP(B1068,COA!A:B,2,FALSE)</f>
        <v>Accrued Tax - Payroll Tax Clearing</v>
      </c>
      <c r="D1068" s="338" t="str">
        <f t="shared" si="33"/>
        <v>C23611</v>
      </c>
      <c r="E1068" s="338" t="s">
        <v>6886</v>
      </c>
      <c r="G1068" s="338">
        <v>0</v>
      </c>
      <c r="H1068" s="204" t="s">
        <v>77</v>
      </c>
      <c r="I1068" s="204" t="s">
        <v>7413</v>
      </c>
    </row>
    <row r="1069" spans="1:9" x14ac:dyDescent="0.25">
      <c r="A1069" s="204" t="s">
        <v>1120</v>
      </c>
      <c r="B1069" s="9" t="str">
        <f t="shared" si="32"/>
        <v>23652400</v>
      </c>
      <c r="C1069" s="9" t="str">
        <f>VLOOKUP(B1069,COA!A:B,2,FALSE)</f>
        <v>Accrued Tax - Local</v>
      </c>
      <c r="D1069" s="338" t="str">
        <f t="shared" si="33"/>
        <v>C23611</v>
      </c>
      <c r="E1069" s="338" t="s">
        <v>6886</v>
      </c>
      <c r="G1069" s="338">
        <v>0</v>
      </c>
      <c r="H1069" s="204" t="s">
        <v>77</v>
      </c>
      <c r="I1069" s="204" t="s">
        <v>7413</v>
      </c>
    </row>
    <row r="1070" spans="1:9" x14ac:dyDescent="0.25">
      <c r="A1070" s="204" t="s">
        <v>1121</v>
      </c>
      <c r="B1070" s="9" t="str">
        <f t="shared" si="32"/>
        <v>23653000</v>
      </c>
      <c r="C1070" s="9" t="str">
        <f>VLOOKUP(B1070,COA!A:B,2,FALSE)</f>
        <v>Accrued Tax - Property Tax</v>
      </c>
      <c r="D1070" s="338" t="str">
        <f t="shared" si="33"/>
        <v>C23611</v>
      </c>
      <c r="E1070" s="338" t="s">
        <v>6886</v>
      </c>
      <c r="G1070" s="338">
        <v>0</v>
      </c>
      <c r="H1070" s="204" t="s">
        <v>77</v>
      </c>
      <c r="I1070" s="204" t="s">
        <v>7413</v>
      </c>
    </row>
    <row r="1071" spans="1:9" x14ac:dyDescent="0.25">
      <c r="A1071" s="204" t="s">
        <v>1122</v>
      </c>
      <c r="B1071" s="9" t="str">
        <f t="shared" si="32"/>
        <v>23654000</v>
      </c>
      <c r="C1071" s="9" t="str">
        <f>VLOOKUP(B1071,COA!A:B,2,FALSE)</f>
        <v>Accrued Tax - Use Tax</v>
      </c>
      <c r="D1071" s="338" t="str">
        <f t="shared" si="33"/>
        <v>C23611</v>
      </c>
      <c r="E1071" s="338" t="s">
        <v>6886</v>
      </c>
      <c r="G1071" s="338">
        <v>0</v>
      </c>
      <c r="H1071" s="204" t="s">
        <v>77</v>
      </c>
      <c r="I1071" s="204" t="s">
        <v>7413</v>
      </c>
    </row>
    <row r="1072" spans="1:9" x14ac:dyDescent="0.25">
      <c r="A1072" s="204" t="s">
        <v>1123</v>
      </c>
      <c r="B1072" s="9" t="str">
        <f t="shared" si="32"/>
        <v>23654100</v>
      </c>
      <c r="C1072" s="9" t="str">
        <f>VLOOKUP(B1072,COA!A:B,2,FALSE)</f>
        <v>Accrued Tax - Franchise Tax</v>
      </c>
      <c r="D1072" s="338" t="str">
        <f t="shared" si="33"/>
        <v>C23611</v>
      </c>
      <c r="E1072" s="338" t="s">
        <v>6886</v>
      </c>
      <c r="G1072" s="338">
        <v>0</v>
      </c>
      <c r="H1072" s="204" t="s">
        <v>77</v>
      </c>
      <c r="I1072" s="204" t="s">
        <v>7413</v>
      </c>
    </row>
    <row r="1073" spans="1:9" x14ac:dyDescent="0.25">
      <c r="A1073" s="204" t="s">
        <v>1124</v>
      </c>
      <c r="B1073" s="9" t="str">
        <f t="shared" si="32"/>
        <v>23654110</v>
      </c>
      <c r="C1073" s="9" t="str">
        <f>VLOOKUP(B1073,COA!A:B,2,FALSE)</f>
        <v>Accrued Tax - Franchise Tax - Income Tax</v>
      </c>
      <c r="D1073" s="338" t="str">
        <f t="shared" si="33"/>
        <v>C23611</v>
      </c>
      <c r="E1073" s="338" t="s">
        <v>6886</v>
      </c>
      <c r="G1073" s="338">
        <v>0</v>
      </c>
      <c r="H1073" s="204" t="s">
        <v>77</v>
      </c>
      <c r="I1073" s="204" t="s">
        <v>7413</v>
      </c>
    </row>
    <row r="1074" spans="1:9" x14ac:dyDescent="0.25">
      <c r="A1074" s="204" t="s">
        <v>1125</v>
      </c>
      <c r="B1074" s="9" t="str">
        <f t="shared" si="32"/>
        <v>23654200</v>
      </c>
      <c r="C1074" s="9" t="str">
        <f>VLOOKUP(B1074,COA!A:B,2,FALSE)</f>
        <v>Accrued Tax - PURTA</v>
      </c>
      <c r="D1074" s="338" t="str">
        <f t="shared" si="33"/>
        <v>C23611</v>
      </c>
      <c r="E1074" s="338" t="s">
        <v>6886</v>
      </c>
      <c r="G1074" s="338">
        <v>0</v>
      </c>
      <c r="H1074" s="204" t="s">
        <v>77</v>
      </c>
      <c r="I1074" s="204" t="s">
        <v>7413</v>
      </c>
    </row>
    <row r="1075" spans="1:9" x14ac:dyDescent="0.25">
      <c r="A1075" s="204" t="s">
        <v>1126</v>
      </c>
      <c r="B1075" s="9" t="str">
        <f t="shared" si="32"/>
        <v>23654300</v>
      </c>
      <c r="C1075" s="9" t="str">
        <f>VLOOKUP(B1075,COA!A:B,2,FALSE)</f>
        <v>Accrued Tax - Capital Stock</v>
      </c>
      <c r="D1075" s="338" t="str">
        <f t="shared" si="33"/>
        <v>C23611</v>
      </c>
      <c r="E1075" s="338" t="s">
        <v>6886</v>
      </c>
      <c r="G1075" s="338">
        <v>0</v>
      </c>
      <c r="H1075" s="204" t="s">
        <v>77</v>
      </c>
      <c r="I1075" s="204" t="s">
        <v>7413</v>
      </c>
    </row>
    <row r="1076" spans="1:9" x14ac:dyDescent="0.25">
      <c r="A1076" s="204" t="s">
        <v>1127</v>
      </c>
      <c r="B1076" s="9" t="str">
        <f t="shared" si="32"/>
        <v>23654310</v>
      </c>
      <c r="C1076" s="9" t="str">
        <f>VLOOKUP(B1076,COA!A:B,2,FALSE)</f>
        <v>Accrued Tax - Capital Stock - Income Tax</v>
      </c>
      <c r="D1076" s="338" t="str">
        <f t="shared" si="33"/>
        <v>C23611</v>
      </c>
      <c r="E1076" s="338" t="s">
        <v>6886</v>
      </c>
      <c r="G1076" s="338">
        <v>0</v>
      </c>
      <c r="H1076" s="204" t="s">
        <v>77</v>
      </c>
      <c r="I1076" s="204" t="s">
        <v>7413</v>
      </c>
    </row>
    <row r="1077" spans="1:9" x14ac:dyDescent="0.25">
      <c r="A1077" s="204" t="s">
        <v>1128</v>
      </c>
      <c r="B1077" s="9" t="str">
        <f t="shared" si="32"/>
        <v>23659000</v>
      </c>
      <c r="C1077" s="9" t="str">
        <f>VLOOKUP(B1077,COA!A:B,2,FALSE)</f>
        <v>Accrued Tax - Other</v>
      </c>
      <c r="D1077" s="338" t="str">
        <f t="shared" si="33"/>
        <v>C23611</v>
      </c>
      <c r="E1077" s="338" t="s">
        <v>6886</v>
      </c>
      <c r="G1077" s="338">
        <v>0</v>
      </c>
      <c r="H1077" s="204" t="s">
        <v>77</v>
      </c>
      <c r="I1077" s="204" t="s">
        <v>7413</v>
      </c>
    </row>
    <row r="1078" spans="1:9" x14ac:dyDescent="0.25">
      <c r="A1078" s="204" t="s">
        <v>1129</v>
      </c>
      <c r="B1078" s="9" t="str">
        <f t="shared" si="32"/>
        <v>23720000</v>
      </c>
      <c r="C1078" s="9" t="str">
        <f>VLOOKUP(B1078,COA!A:B,2,FALSE)</f>
        <v>Interest Accrued - LTD</v>
      </c>
      <c r="D1078" s="338" t="str">
        <f t="shared" si="33"/>
        <v>C2371</v>
      </c>
      <c r="E1078" s="338" t="s">
        <v>6886</v>
      </c>
      <c r="G1078" s="338">
        <v>0</v>
      </c>
      <c r="H1078" s="204" t="s">
        <v>77</v>
      </c>
      <c r="I1078" s="204" t="s">
        <v>7414</v>
      </c>
    </row>
    <row r="1079" spans="1:9" x14ac:dyDescent="0.25">
      <c r="A1079" s="204" t="s">
        <v>1130</v>
      </c>
      <c r="B1079" s="9" t="str">
        <f t="shared" si="32"/>
        <v>23730000</v>
      </c>
      <c r="C1079" s="9" t="str">
        <f>VLOOKUP(B1079,COA!A:B,2,FALSE)</f>
        <v>Interest Accrued - LTD Interco</v>
      </c>
      <c r="D1079" s="338" t="str">
        <f t="shared" si="33"/>
        <v>C2371</v>
      </c>
      <c r="E1079" s="338" t="s">
        <v>6886</v>
      </c>
      <c r="G1079" s="338">
        <v>0</v>
      </c>
      <c r="H1079" s="204" t="s">
        <v>77</v>
      </c>
      <c r="I1079" s="204" t="s">
        <v>7414</v>
      </c>
    </row>
    <row r="1080" spans="1:9" x14ac:dyDescent="0.25">
      <c r="A1080" s="204" t="s">
        <v>1131</v>
      </c>
      <c r="B1080" s="9" t="str">
        <f t="shared" si="32"/>
        <v>23740000</v>
      </c>
      <c r="C1080" s="9" t="str">
        <f>VLOOKUP(B1080,COA!A:B,2,FALSE)</f>
        <v>Interest Accrued - Redeemable Preferred Dividends</v>
      </c>
      <c r="D1080" s="338" t="str">
        <f t="shared" si="33"/>
        <v>C241</v>
      </c>
      <c r="E1080" s="338" t="s">
        <v>6886</v>
      </c>
      <c r="G1080" s="338">
        <v>0</v>
      </c>
      <c r="H1080" s="204" t="s">
        <v>77</v>
      </c>
      <c r="I1080" s="204" t="s">
        <v>7415</v>
      </c>
    </row>
    <row r="1081" spans="1:9" x14ac:dyDescent="0.25">
      <c r="A1081" s="204" t="s">
        <v>1132</v>
      </c>
      <c r="B1081" s="9" t="str">
        <f t="shared" si="32"/>
        <v>23750000</v>
      </c>
      <c r="C1081" s="9" t="str">
        <f>VLOOKUP(B1081,COA!A:B,2,FALSE)</f>
        <v>Interest Accrued - Other</v>
      </c>
      <c r="D1081" s="338" t="str">
        <f t="shared" si="33"/>
        <v>C2372</v>
      </c>
      <c r="E1081" s="338" t="s">
        <v>6886</v>
      </c>
      <c r="G1081" s="338">
        <v>0</v>
      </c>
      <c r="H1081" s="204" t="s">
        <v>77</v>
      </c>
      <c r="I1081" s="204" t="s">
        <v>7416</v>
      </c>
    </row>
    <row r="1082" spans="1:9" x14ac:dyDescent="0.25">
      <c r="A1082" s="204" t="s">
        <v>1133</v>
      </c>
      <c r="B1082" s="9" t="str">
        <f t="shared" si="32"/>
        <v>24120000</v>
      </c>
      <c r="C1082" s="9" t="str">
        <f>VLOOKUP(B1082,COA!A:B,2,FALSE)</f>
        <v>Accrued Vacation Pay</v>
      </c>
      <c r="D1082" s="338" t="str">
        <f t="shared" si="33"/>
        <v>C241</v>
      </c>
      <c r="E1082" s="338" t="s">
        <v>6886</v>
      </c>
      <c r="G1082" s="338">
        <v>0</v>
      </c>
      <c r="H1082" s="204" t="s">
        <v>77</v>
      </c>
      <c r="I1082" s="204" t="s">
        <v>7415</v>
      </c>
    </row>
    <row r="1083" spans="1:9" x14ac:dyDescent="0.25">
      <c r="A1083" s="204" t="s">
        <v>1134</v>
      </c>
      <c r="B1083" s="9" t="str">
        <f t="shared" si="32"/>
        <v>24120100</v>
      </c>
      <c r="C1083" s="9" t="str">
        <f>VLOOKUP(B1083,COA!A:B,2,FALSE)</f>
        <v>Accrued Water Purchases</v>
      </c>
      <c r="D1083" s="338" t="str">
        <f t="shared" si="33"/>
        <v>C241</v>
      </c>
      <c r="E1083" s="338" t="s">
        <v>6886</v>
      </c>
      <c r="G1083" s="338">
        <v>0</v>
      </c>
      <c r="H1083" s="204" t="s">
        <v>77</v>
      </c>
      <c r="I1083" s="204" t="s">
        <v>7415</v>
      </c>
    </row>
    <row r="1084" spans="1:9" x14ac:dyDescent="0.25">
      <c r="A1084" s="204" t="s">
        <v>1135</v>
      </c>
      <c r="B1084" s="9" t="str">
        <f t="shared" si="32"/>
        <v>24120200</v>
      </c>
      <c r="C1084" s="9" t="str">
        <f>VLOOKUP(B1084,COA!A:B,2,FALSE)</f>
        <v>Accrued Power</v>
      </c>
      <c r="D1084" s="338" t="str">
        <f t="shared" si="33"/>
        <v>C241</v>
      </c>
      <c r="E1084" s="338" t="s">
        <v>6886</v>
      </c>
      <c r="G1084" s="338">
        <v>0</v>
      </c>
      <c r="H1084" s="204" t="s">
        <v>77</v>
      </c>
      <c r="I1084" s="204" t="s">
        <v>7415</v>
      </c>
    </row>
    <row r="1085" spans="1:9" x14ac:dyDescent="0.25">
      <c r="A1085" s="204" t="s">
        <v>1136</v>
      </c>
      <c r="B1085" s="9" t="str">
        <f t="shared" si="32"/>
        <v>24120300</v>
      </c>
      <c r="C1085" s="9" t="str">
        <f>VLOOKUP(B1085,COA!A:B,2,FALSE)</f>
        <v>Accrued Legal</v>
      </c>
      <c r="D1085" s="338" t="str">
        <f t="shared" si="33"/>
        <v>C241</v>
      </c>
      <c r="E1085" s="338" t="s">
        <v>6886</v>
      </c>
      <c r="G1085" s="338">
        <v>0</v>
      </c>
      <c r="H1085" s="204" t="s">
        <v>77</v>
      </c>
      <c r="I1085" s="204" t="s">
        <v>7415</v>
      </c>
    </row>
    <row r="1086" spans="1:9" x14ac:dyDescent="0.25">
      <c r="A1086" s="204" t="s">
        <v>1137</v>
      </c>
      <c r="B1086" s="9" t="str">
        <f t="shared" si="32"/>
        <v>24120600</v>
      </c>
      <c r="C1086" s="9" t="str">
        <f>VLOOKUP(B1086,COA!A:B,2,FALSE)</f>
        <v>Accrued Wages</v>
      </c>
      <c r="D1086" s="338" t="str">
        <f t="shared" si="33"/>
        <v>C241</v>
      </c>
      <c r="E1086" s="338" t="s">
        <v>6886</v>
      </c>
      <c r="G1086" s="338">
        <v>0</v>
      </c>
      <c r="H1086" s="204" t="s">
        <v>77</v>
      </c>
      <c r="I1086" s="204" t="s">
        <v>7415</v>
      </c>
    </row>
    <row r="1087" spans="1:9" x14ac:dyDescent="0.25">
      <c r="A1087" s="204" t="s">
        <v>1138</v>
      </c>
      <c r="B1087" s="9" t="str">
        <f t="shared" si="32"/>
        <v>24120699</v>
      </c>
      <c r="C1087" s="9" t="str">
        <f>VLOOKUP(B1087,COA!A:B,2,FALSE)</f>
        <v>Accrued Wages - Net Adjustments Clearing</v>
      </c>
      <c r="D1087" s="338" t="str">
        <f t="shared" si="33"/>
        <v>C241</v>
      </c>
      <c r="E1087" s="338" t="s">
        <v>6886</v>
      </c>
      <c r="G1087" s="338">
        <v>0</v>
      </c>
      <c r="H1087" s="204" t="s">
        <v>77</v>
      </c>
      <c r="I1087" s="204" t="s">
        <v>7415</v>
      </c>
    </row>
    <row r="1088" spans="1:9" x14ac:dyDescent="0.25">
      <c r="A1088" s="204" t="s">
        <v>1139</v>
      </c>
      <c r="B1088" s="9" t="str">
        <f t="shared" si="32"/>
        <v>24120700</v>
      </c>
      <c r="C1088" s="9" t="str">
        <f>VLOOKUP(B1088,COA!A:B,2,FALSE)</f>
        <v>Accrued Insurance</v>
      </c>
      <c r="D1088" s="338" t="str">
        <f t="shared" si="33"/>
        <v>C241</v>
      </c>
      <c r="E1088" s="338" t="s">
        <v>6886</v>
      </c>
      <c r="G1088" s="338">
        <v>0</v>
      </c>
      <c r="H1088" s="204" t="s">
        <v>77</v>
      </c>
      <c r="I1088" s="204" t="s">
        <v>7415</v>
      </c>
    </row>
    <row r="1089" spans="1:9" x14ac:dyDescent="0.25">
      <c r="A1089" s="204" t="s">
        <v>1140</v>
      </c>
      <c r="B1089" s="9" t="str">
        <f t="shared" ref="B1089:B1152" si="34">RIGHT(A1089,8)</f>
        <v>24120710</v>
      </c>
      <c r="C1089" s="9" t="str">
        <f>VLOOKUP(B1089,COA!A:B,2,FALSE)</f>
        <v>Accrued Insurance Retro Adjustment</v>
      </c>
      <c r="D1089" s="338" t="str">
        <f t="shared" si="33"/>
        <v>C241</v>
      </c>
      <c r="E1089" s="338" t="s">
        <v>6886</v>
      </c>
      <c r="G1089" s="338">
        <v>0</v>
      </c>
      <c r="H1089" s="204" t="s">
        <v>77</v>
      </c>
      <c r="I1089" s="204" t="s">
        <v>7415</v>
      </c>
    </row>
    <row r="1090" spans="1:9" x14ac:dyDescent="0.25">
      <c r="A1090" s="204" t="s">
        <v>1141</v>
      </c>
      <c r="B1090" s="9" t="str">
        <f t="shared" si="34"/>
        <v>24120720</v>
      </c>
      <c r="C1090" s="9" t="str">
        <f>VLOOKUP(B1090,COA!A:B,2,FALSE)</f>
        <v>Accrued Insurance Unfunded</v>
      </c>
      <c r="D1090" s="338" t="str">
        <f t="shared" si="33"/>
        <v>C241</v>
      </c>
      <c r="E1090" s="338" t="s">
        <v>6886</v>
      </c>
      <c r="G1090" s="338">
        <v>0</v>
      </c>
      <c r="H1090" s="204" t="s">
        <v>77</v>
      </c>
      <c r="I1090" s="204" t="s">
        <v>7415</v>
      </c>
    </row>
    <row r="1091" spans="1:9" x14ac:dyDescent="0.25">
      <c r="A1091" s="204" t="s">
        <v>1142</v>
      </c>
      <c r="B1091" s="9" t="str">
        <f t="shared" si="34"/>
        <v>24120800</v>
      </c>
      <c r="C1091" s="9" t="str">
        <f>VLOOKUP(B1091,COA!A:B,2,FALSE)</f>
        <v>Accrued Rents</v>
      </c>
      <c r="D1091" s="338" t="str">
        <f t="shared" si="33"/>
        <v>C241</v>
      </c>
      <c r="E1091" s="338" t="s">
        <v>6886</v>
      </c>
      <c r="G1091" s="338">
        <v>0</v>
      </c>
      <c r="H1091" s="204" t="s">
        <v>77</v>
      </c>
      <c r="I1091" s="204" t="s">
        <v>7415</v>
      </c>
    </row>
    <row r="1092" spans="1:9" x14ac:dyDescent="0.25">
      <c r="A1092" s="204" t="s">
        <v>1143</v>
      </c>
      <c r="B1092" s="9" t="str">
        <f t="shared" si="34"/>
        <v>24121000</v>
      </c>
      <c r="C1092" s="9" t="str">
        <f>VLOOKUP(B1092,COA!A:B,2,FALSE)</f>
        <v>Accrued Waste Disposal</v>
      </c>
      <c r="D1092" s="338" t="str">
        <f t="shared" si="33"/>
        <v>C241</v>
      </c>
      <c r="E1092" s="338" t="s">
        <v>6886</v>
      </c>
      <c r="G1092" s="338">
        <v>0</v>
      </c>
      <c r="H1092" s="204" t="s">
        <v>77</v>
      </c>
      <c r="I1092" s="204" t="s">
        <v>7415</v>
      </c>
    </row>
    <row r="1093" spans="1:9" x14ac:dyDescent="0.25">
      <c r="A1093" s="204" t="s">
        <v>1144</v>
      </c>
      <c r="B1093" s="9" t="str">
        <f t="shared" si="34"/>
        <v>24121100</v>
      </c>
      <c r="C1093" s="9" t="str">
        <f>VLOOKUP(B1093,COA!A:B,2,FALSE)</f>
        <v>Accrued Retiree Medical</v>
      </c>
      <c r="D1093" s="338" t="str">
        <f t="shared" si="33"/>
        <v>C241</v>
      </c>
      <c r="E1093" s="338" t="s">
        <v>6886</v>
      </c>
      <c r="G1093" s="338">
        <v>0</v>
      </c>
      <c r="H1093" s="204" t="s">
        <v>77</v>
      </c>
      <c r="I1093" s="204" t="s">
        <v>7415</v>
      </c>
    </row>
    <row r="1094" spans="1:9" x14ac:dyDescent="0.25">
      <c r="A1094" s="204" t="s">
        <v>1145</v>
      </c>
      <c r="B1094" s="9" t="str">
        <f t="shared" si="34"/>
        <v>24121200</v>
      </c>
      <c r="C1094" s="9" t="str">
        <f>VLOOKUP(B1094,COA!A:B,2,FALSE)</f>
        <v>Accrued DCP - Contribution</v>
      </c>
      <c r="D1094" s="338" t="str">
        <f t="shared" si="33"/>
        <v>C241</v>
      </c>
      <c r="E1094" s="338" t="s">
        <v>6886</v>
      </c>
      <c r="G1094" s="338">
        <v>0</v>
      </c>
      <c r="H1094" s="204" t="s">
        <v>77</v>
      </c>
      <c r="I1094" s="204" t="s">
        <v>7415</v>
      </c>
    </row>
    <row r="1095" spans="1:9" x14ac:dyDescent="0.25">
      <c r="A1095" s="204" t="s">
        <v>1146</v>
      </c>
      <c r="B1095" s="9" t="str">
        <f t="shared" si="34"/>
        <v>24121300</v>
      </c>
      <c r="C1095" s="9" t="str">
        <f>VLOOKUP(B1095,COA!A:B,2,FALSE)</f>
        <v>Accrued Health Savings Account</v>
      </c>
      <c r="D1095" s="338" t="str">
        <f t="shared" si="33"/>
        <v>C241</v>
      </c>
      <c r="E1095" s="338" t="s">
        <v>6886</v>
      </c>
      <c r="G1095" s="338">
        <v>0</v>
      </c>
      <c r="H1095" s="204" t="s">
        <v>77</v>
      </c>
      <c r="I1095" s="204" t="s">
        <v>7415</v>
      </c>
    </row>
    <row r="1096" spans="1:9" x14ac:dyDescent="0.25">
      <c r="A1096" s="204" t="s">
        <v>1147</v>
      </c>
      <c r="B1096" s="9" t="str">
        <f t="shared" si="34"/>
        <v>24121400</v>
      </c>
      <c r="C1096" s="9" t="str">
        <f>VLOOKUP(B1096,COA!A:B,2,FALSE)</f>
        <v>Accrued Bank Fees</v>
      </c>
      <c r="D1096" s="338" t="str">
        <f t="shared" si="33"/>
        <v>C241</v>
      </c>
      <c r="E1096" s="338" t="s">
        <v>6886</v>
      </c>
      <c r="G1096" s="338">
        <v>0</v>
      </c>
      <c r="H1096" s="204" t="s">
        <v>77</v>
      </c>
      <c r="I1096" s="204" t="s">
        <v>7415</v>
      </c>
    </row>
    <row r="1097" spans="1:9" x14ac:dyDescent="0.25">
      <c r="A1097" s="204" t="s">
        <v>1148</v>
      </c>
      <c r="B1097" s="9" t="str">
        <f t="shared" si="34"/>
        <v>24121500</v>
      </c>
      <c r="C1097" s="9" t="str">
        <f>VLOOKUP(B1097,COA!A:B,2,FALSE)</f>
        <v>Accrued Credit Lines Fees</v>
      </c>
      <c r="D1097" s="338" t="str">
        <f t="shared" si="33"/>
        <v>C241</v>
      </c>
      <c r="E1097" s="338" t="s">
        <v>6886</v>
      </c>
      <c r="G1097" s="338">
        <v>0</v>
      </c>
      <c r="H1097" s="204" t="s">
        <v>77</v>
      </c>
      <c r="I1097" s="204" t="s">
        <v>7415</v>
      </c>
    </row>
    <row r="1098" spans="1:9" x14ac:dyDescent="0.25">
      <c r="A1098" s="204" t="s">
        <v>1149</v>
      </c>
      <c r="B1098" s="9" t="str">
        <f t="shared" si="34"/>
        <v>24121800</v>
      </c>
      <c r="C1098" s="9" t="str">
        <f>VLOOKUP(B1098,COA!A:B,2,FALSE)</f>
        <v>Accrued Severance</v>
      </c>
      <c r="D1098" s="338" t="str">
        <f t="shared" si="33"/>
        <v>C241</v>
      </c>
      <c r="E1098" s="338" t="s">
        <v>6886</v>
      </c>
      <c r="G1098" s="338">
        <v>0</v>
      </c>
      <c r="H1098" s="204" t="s">
        <v>77</v>
      </c>
      <c r="I1098" s="204" t="s">
        <v>7415</v>
      </c>
    </row>
    <row r="1099" spans="1:9" x14ac:dyDescent="0.25">
      <c r="A1099" s="204" t="s">
        <v>1150</v>
      </c>
      <c r="B1099" s="9" t="str">
        <f t="shared" si="34"/>
        <v>24121900</v>
      </c>
      <c r="C1099" s="9" t="str">
        <f>VLOOKUP(B1099,COA!A:B,2,FALSE)</f>
        <v>Accrued Healthy Solution</v>
      </c>
      <c r="D1099" s="338" t="str">
        <f t="shared" ref="D1099:D1162" si="35">+I1099</f>
        <v>C241</v>
      </c>
      <c r="E1099" s="338" t="s">
        <v>6886</v>
      </c>
      <c r="G1099" s="338">
        <v>0</v>
      </c>
      <c r="H1099" s="204" t="s">
        <v>77</v>
      </c>
      <c r="I1099" s="204" t="s">
        <v>7415</v>
      </c>
    </row>
    <row r="1100" spans="1:9" x14ac:dyDescent="0.25">
      <c r="A1100" s="204" t="s">
        <v>1151</v>
      </c>
      <c r="B1100" s="9" t="str">
        <f t="shared" si="34"/>
        <v>24122500</v>
      </c>
      <c r="C1100" s="9" t="str">
        <f>VLOOKUP(B1100,COA!A:B,2,FALSE)</f>
        <v>Refund Rates Under Bond</v>
      </c>
      <c r="D1100" s="338" t="str">
        <f t="shared" si="35"/>
        <v>C241</v>
      </c>
      <c r="E1100" s="338" t="s">
        <v>6886</v>
      </c>
      <c r="G1100" s="338">
        <v>0</v>
      </c>
      <c r="H1100" s="204" t="s">
        <v>77</v>
      </c>
      <c r="I1100" s="204" t="s">
        <v>7415</v>
      </c>
    </row>
    <row r="1101" spans="1:9" x14ac:dyDescent="0.25">
      <c r="A1101" s="204" t="s">
        <v>1152</v>
      </c>
      <c r="B1101" s="9" t="str">
        <f t="shared" si="34"/>
        <v>24122600</v>
      </c>
      <c r="C1101" s="9" t="str">
        <f>VLOOKUP(B1101,COA!A:B,2,FALSE)</f>
        <v>Accrued Safety Incentive</v>
      </c>
      <c r="D1101" s="338" t="str">
        <f t="shared" si="35"/>
        <v>C241</v>
      </c>
      <c r="E1101" s="338" t="s">
        <v>6886</v>
      </c>
      <c r="G1101" s="338">
        <v>0</v>
      </c>
      <c r="H1101" s="204" t="s">
        <v>77</v>
      </c>
      <c r="I1101" s="204" t="s">
        <v>7415</v>
      </c>
    </row>
    <row r="1102" spans="1:9" x14ac:dyDescent="0.25">
      <c r="A1102" s="204" t="s">
        <v>1153</v>
      </c>
      <c r="B1102" s="9" t="str">
        <f t="shared" si="34"/>
        <v>24122700</v>
      </c>
      <c r="C1102" s="9" t="str">
        <f>VLOOKUP(B1102,COA!A:B,2,FALSE)</f>
        <v>Accrued Employer 401k Match</v>
      </c>
      <c r="D1102" s="338" t="str">
        <f t="shared" si="35"/>
        <v>C241</v>
      </c>
      <c r="E1102" s="338" t="s">
        <v>6886</v>
      </c>
      <c r="G1102" s="338">
        <v>0</v>
      </c>
      <c r="H1102" s="204" t="s">
        <v>77</v>
      </c>
      <c r="I1102" s="204" t="s">
        <v>7415</v>
      </c>
    </row>
    <row r="1103" spans="1:9" x14ac:dyDescent="0.25">
      <c r="A1103" s="204" t="s">
        <v>1154</v>
      </c>
      <c r="B1103" s="9" t="str">
        <f t="shared" si="34"/>
        <v>24122800</v>
      </c>
      <c r="C1103" s="9" t="str">
        <f>VLOOKUP(B1103,COA!A:B,2,FALSE)</f>
        <v>Accr'd Pref'd Dividnds w/o Mand Redmptn Requiremts</v>
      </c>
      <c r="D1103" s="338" t="str">
        <f t="shared" si="35"/>
        <v>C241</v>
      </c>
      <c r="E1103" s="338" t="s">
        <v>6886</v>
      </c>
      <c r="G1103" s="338">
        <v>0</v>
      </c>
      <c r="H1103" s="204" t="s">
        <v>77</v>
      </c>
      <c r="I1103" s="204" t="s">
        <v>7415</v>
      </c>
    </row>
    <row r="1104" spans="1:9" x14ac:dyDescent="0.25">
      <c r="A1104" s="204" t="s">
        <v>1155</v>
      </c>
      <c r="B1104" s="9" t="str">
        <f t="shared" si="34"/>
        <v>24122850</v>
      </c>
      <c r="C1104" s="9" t="str">
        <f>VLOOKUP(B1104,COA!A:B,2,FALSE)</f>
        <v>Pref'd Div Declared w/o Mand Redemptn Requiremts</v>
      </c>
      <c r="D1104" s="338" t="str">
        <f t="shared" si="35"/>
        <v>C238</v>
      </c>
      <c r="E1104" s="338" t="s">
        <v>6886</v>
      </c>
      <c r="G1104" s="338">
        <v>0</v>
      </c>
      <c r="H1104" s="204" t="s">
        <v>77</v>
      </c>
      <c r="I1104" s="204" t="s">
        <v>7417</v>
      </c>
    </row>
    <row r="1105" spans="1:9" x14ac:dyDescent="0.25">
      <c r="A1105" s="204" t="s">
        <v>1156</v>
      </c>
      <c r="B1105" s="9" t="str">
        <f t="shared" si="34"/>
        <v>24122900</v>
      </c>
      <c r="C1105" s="9" t="str">
        <f>VLOOKUP(B1105,COA!A:B,2,FALSE)</f>
        <v>Common Dividends Declared</v>
      </c>
      <c r="D1105" s="338" t="str">
        <f t="shared" si="35"/>
        <v>C238</v>
      </c>
      <c r="E1105" s="338" t="s">
        <v>6886</v>
      </c>
      <c r="G1105" s="338">
        <v>0</v>
      </c>
      <c r="H1105" s="204" t="s">
        <v>77</v>
      </c>
      <c r="I1105" s="204" t="s">
        <v>7417</v>
      </c>
    </row>
    <row r="1106" spans="1:9" x14ac:dyDescent="0.25">
      <c r="A1106" s="204" t="s">
        <v>1157</v>
      </c>
      <c r="B1106" s="9" t="str">
        <f t="shared" si="34"/>
        <v>24123000</v>
      </c>
      <c r="C1106" s="9" t="str">
        <f>VLOOKUP(B1106,COA!A:B,2,FALSE)</f>
        <v>Accrued Incentive Plan Cash</v>
      </c>
      <c r="D1106" s="338" t="str">
        <f t="shared" si="35"/>
        <v>C241</v>
      </c>
      <c r="E1106" s="338" t="s">
        <v>6886</v>
      </c>
      <c r="G1106" s="338">
        <v>0</v>
      </c>
      <c r="H1106" s="204" t="s">
        <v>77</v>
      </c>
      <c r="I1106" s="204" t="s">
        <v>7415</v>
      </c>
    </row>
    <row r="1107" spans="1:9" x14ac:dyDescent="0.25">
      <c r="A1107" s="204" t="s">
        <v>1158</v>
      </c>
      <c r="B1107" s="9" t="str">
        <f t="shared" si="34"/>
        <v>24123100</v>
      </c>
      <c r="C1107" s="9" t="str">
        <f>VLOOKUP(B1107,COA!A:B,2,FALSE)</f>
        <v>Accrued Construction Costs</v>
      </c>
      <c r="D1107" s="338" t="str">
        <f t="shared" si="35"/>
        <v>C241</v>
      </c>
      <c r="E1107" s="338" t="s">
        <v>6886</v>
      </c>
      <c r="G1107" s="338">
        <v>0</v>
      </c>
      <c r="H1107" s="204" t="s">
        <v>77</v>
      </c>
      <c r="I1107" s="204" t="s">
        <v>7415</v>
      </c>
    </row>
    <row r="1108" spans="1:9" x14ac:dyDescent="0.25">
      <c r="A1108" s="204" t="s">
        <v>1159</v>
      </c>
      <c r="B1108" s="9" t="str">
        <f t="shared" si="34"/>
        <v>24126000</v>
      </c>
      <c r="C1108" s="9" t="str">
        <f>VLOOKUP(B1108,COA!A:B,2,FALSE)</f>
        <v>Miscellaneous Deposits Payable</v>
      </c>
      <c r="D1108" s="338" t="str">
        <f t="shared" si="35"/>
        <v>C241</v>
      </c>
      <c r="E1108" s="338" t="s">
        <v>6886</v>
      </c>
      <c r="G1108" s="338">
        <v>0</v>
      </c>
      <c r="H1108" s="204" t="s">
        <v>77</v>
      </c>
      <c r="I1108" s="204" t="s">
        <v>7415</v>
      </c>
    </row>
    <row r="1109" spans="1:9" x14ac:dyDescent="0.25">
      <c r="A1109" s="204" t="s">
        <v>1160</v>
      </c>
      <c r="B1109" s="9" t="str">
        <f t="shared" si="34"/>
        <v>24126200</v>
      </c>
      <c r="C1109" s="9" t="str">
        <f>VLOOKUP(B1109,COA!A:B,2,FALSE)</f>
        <v>Accrued Paving</v>
      </c>
      <c r="D1109" s="338" t="str">
        <f t="shared" si="35"/>
        <v>C241</v>
      </c>
      <c r="E1109" s="338" t="s">
        <v>6886</v>
      </c>
      <c r="G1109" s="338">
        <v>0</v>
      </c>
      <c r="H1109" s="204" t="s">
        <v>77</v>
      </c>
      <c r="I1109" s="204" t="s">
        <v>7415</v>
      </c>
    </row>
    <row r="1110" spans="1:9" x14ac:dyDescent="0.25">
      <c r="A1110" s="204" t="s">
        <v>1161</v>
      </c>
      <c r="B1110" s="9" t="str">
        <f t="shared" si="34"/>
        <v>24126300</v>
      </c>
      <c r="C1110" s="9" t="str">
        <f>VLOOKUP(B1110,COA!A:B,2,FALSE)</f>
        <v>Accrued Litigation</v>
      </c>
      <c r="D1110" s="338" t="str">
        <f t="shared" si="35"/>
        <v>C241</v>
      </c>
      <c r="E1110" s="338" t="s">
        <v>6886</v>
      </c>
      <c r="G1110" s="338">
        <v>0</v>
      </c>
      <c r="H1110" s="204" t="s">
        <v>77</v>
      </c>
      <c r="I1110" s="204" t="s">
        <v>7415</v>
      </c>
    </row>
    <row r="1111" spans="1:9" x14ac:dyDescent="0.25">
      <c r="A1111" s="204" t="s">
        <v>1162</v>
      </c>
      <c r="B1111" s="9" t="str">
        <f t="shared" si="34"/>
        <v>24126400</v>
      </c>
      <c r="C1111" s="9" t="str">
        <f>VLOOKUP(B1111,COA!A:B,2,FALSE)</f>
        <v>Customer Deposits</v>
      </c>
      <c r="D1111" s="338" t="str">
        <f t="shared" si="35"/>
        <v>C235</v>
      </c>
      <c r="E1111" s="338" t="s">
        <v>6886</v>
      </c>
      <c r="G1111" s="338">
        <v>0</v>
      </c>
      <c r="H1111" s="204" t="s">
        <v>77</v>
      </c>
      <c r="I1111" s="204" t="s">
        <v>7418</v>
      </c>
    </row>
    <row r="1112" spans="1:9" x14ac:dyDescent="0.25">
      <c r="A1112" s="204" t="s">
        <v>1163</v>
      </c>
      <c r="B1112" s="9" t="str">
        <f t="shared" si="34"/>
        <v>24126500</v>
      </c>
      <c r="C1112" s="9" t="str">
        <f>VLOOKUP(B1112,COA!A:B,2,FALSE)</f>
        <v>Accrued Audit Fees</v>
      </c>
      <c r="D1112" s="338" t="str">
        <f t="shared" si="35"/>
        <v>C241</v>
      </c>
      <c r="E1112" s="338" t="s">
        <v>6886</v>
      </c>
      <c r="G1112" s="338">
        <v>0</v>
      </c>
      <c r="H1112" s="204" t="s">
        <v>77</v>
      </c>
      <c r="I1112" s="204" t="s">
        <v>7415</v>
      </c>
    </row>
    <row r="1113" spans="1:9" x14ac:dyDescent="0.25">
      <c r="A1113" s="204" t="s">
        <v>1164</v>
      </c>
      <c r="B1113" s="9" t="str">
        <f t="shared" si="34"/>
        <v>24129000</v>
      </c>
      <c r="C1113" s="9" t="str">
        <f>VLOOKUP(B1113,COA!A:B,2,FALSE)</f>
        <v>Accrued NOAA Settlement - Current Portion</v>
      </c>
      <c r="D1113" s="338" t="str">
        <f t="shared" si="35"/>
        <v>C241</v>
      </c>
      <c r="E1113" s="338" t="s">
        <v>6886</v>
      </c>
      <c r="G1113" s="338">
        <v>0</v>
      </c>
      <c r="H1113" s="204" t="s">
        <v>77</v>
      </c>
      <c r="I1113" s="204" t="s">
        <v>7415</v>
      </c>
    </row>
    <row r="1114" spans="1:9" x14ac:dyDescent="0.25">
      <c r="A1114" s="204" t="s">
        <v>1165</v>
      </c>
      <c r="B1114" s="9" t="str">
        <f t="shared" si="34"/>
        <v>24133000</v>
      </c>
      <c r="C1114" s="9" t="str">
        <f>VLOOKUP(B1114,COA!A:B,2,FALSE)</f>
        <v>Unclaimed Customer Credits</v>
      </c>
      <c r="D1114" s="338" t="str">
        <f t="shared" si="35"/>
        <v>C241</v>
      </c>
      <c r="E1114" s="338" t="s">
        <v>6886</v>
      </c>
      <c r="G1114" s="338">
        <v>0</v>
      </c>
      <c r="H1114" s="204" t="s">
        <v>77</v>
      </c>
      <c r="I1114" s="204" t="s">
        <v>7415</v>
      </c>
    </row>
    <row r="1115" spans="1:9" x14ac:dyDescent="0.25">
      <c r="A1115" s="204" t="s">
        <v>1166</v>
      </c>
      <c r="B1115" s="9" t="str">
        <f t="shared" si="34"/>
        <v>24133200</v>
      </c>
      <c r="C1115" s="9" t="str">
        <f>VLOOKUP(B1115,COA!A:B,2,FALSE)</f>
        <v>Unclaimed A/P Checks</v>
      </c>
      <c r="D1115" s="338" t="str">
        <f t="shared" si="35"/>
        <v>C241</v>
      </c>
      <c r="E1115" s="338" t="s">
        <v>6886</v>
      </c>
      <c r="G1115" s="338">
        <v>0</v>
      </c>
      <c r="H1115" s="204" t="s">
        <v>77</v>
      </c>
      <c r="I1115" s="204" t="s">
        <v>7415</v>
      </c>
    </row>
    <row r="1116" spans="1:9" x14ac:dyDescent="0.25">
      <c r="A1116" s="204" t="s">
        <v>1167</v>
      </c>
      <c r="B1116" s="9" t="str">
        <f t="shared" si="34"/>
        <v>24133300</v>
      </c>
      <c r="C1116" s="9" t="str">
        <f>VLOOKUP(B1116,COA!A:B,2,FALSE)</f>
        <v>Unclaimed Wages</v>
      </c>
      <c r="D1116" s="338" t="str">
        <f t="shared" si="35"/>
        <v>C241</v>
      </c>
      <c r="E1116" s="338" t="s">
        <v>6886</v>
      </c>
      <c r="G1116" s="338">
        <v>0</v>
      </c>
      <c r="H1116" s="204" t="s">
        <v>77</v>
      </c>
      <c r="I1116" s="204" t="s">
        <v>7415</v>
      </c>
    </row>
    <row r="1117" spans="1:9" x14ac:dyDescent="0.25">
      <c r="A1117" s="204" t="s">
        <v>1168</v>
      </c>
      <c r="B1117" s="9" t="str">
        <f t="shared" si="34"/>
        <v>24142001</v>
      </c>
      <c r="C1117" s="9" t="str">
        <f>VLOOKUP(B1117,COA!A:B,2,FALSE)</f>
        <v>WH PR - Union Dues</v>
      </c>
      <c r="D1117" s="338" t="str">
        <f t="shared" si="35"/>
        <v>C241</v>
      </c>
      <c r="E1117" s="338" t="s">
        <v>6886</v>
      </c>
      <c r="G1117" s="338">
        <v>0</v>
      </c>
      <c r="H1117" s="204" t="s">
        <v>77</v>
      </c>
      <c r="I1117" s="204" t="s">
        <v>7415</v>
      </c>
    </row>
    <row r="1118" spans="1:9" x14ac:dyDescent="0.25">
      <c r="A1118" s="204" t="s">
        <v>1169</v>
      </c>
      <c r="B1118" s="9" t="str">
        <f t="shared" si="34"/>
        <v>24142002</v>
      </c>
      <c r="C1118" s="9" t="str">
        <f>VLOOKUP(B1118,COA!A:B,2,FALSE)</f>
        <v>WH PR - Charity Contributions</v>
      </c>
      <c r="D1118" s="338" t="str">
        <f t="shared" si="35"/>
        <v>C241</v>
      </c>
      <c r="E1118" s="338" t="s">
        <v>6886</v>
      </c>
      <c r="G1118" s="338">
        <v>0</v>
      </c>
      <c r="H1118" s="204" t="s">
        <v>77</v>
      </c>
      <c r="I1118" s="204" t="s">
        <v>7415</v>
      </c>
    </row>
    <row r="1119" spans="1:9" x14ac:dyDescent="0.25">
      <c r="A1119" s="204" t="s">
        <v>1170</v>
      </c>
      <c r="B1119" s="9" t="str">
        <f t="shared" si="34"/>
        <v>24142003</v>
      </c>
      <c r="C1119" s="9" t="str">
        <f>VLOOKUP(B1119,COA!A:B,2,FALSE)</f>
        <v>WH PR - Federal Political Action Committee Contr</v>
      </c>
      <c r="D1119" s="338" t="str">
        <f t="shared" si="35"/>
        <v>C241</v>
      </c>
      <c r="E1119" s="338" t="s">
        <v>6886</v>
      </c>
      <c r="G1119" s="338">
        <v>0</v>
      </c>
      <c r="H1119" s="204" t="s">
        <v>77</v>
      </c>
      <c r="I1119" s="204" t="s">
        <v>7415</v>
      </c>
    </row>
    <row r="1120" spans="1:9" x14ac:dyDescent="0.25">
      <c r="A1120" s="204" t="s">
        <v>1171</v>
      </c>
      <c r="B1120" s="9" t="str">
        <f t="shared" si="34"/>
        <v>24142005</v>
      </c>
      <c r="C1120" s="9" t="str">
        <f>VLOOKUP(B1120,COA!A:B,2,FALSE)</f>
        <v>WH PR - Flex Spending</v>
      </c>
      <c r="D1120" s="338" t="str">
        <f t="shared" si="35"/>
        <v>C241</v>
      </c>
      <c r="E1120" s="338" t="s">
        <v>6886</v>
      </c>
      <c r="G1120" s="338">
        <v>0</v>
      </c>
      <c r="H1120" s="204" t="s">
        <v>77</v>
      </c>
      <c r="I1120" s="204" t="s">
        <v>7415</v>
      </c>
    </row>
    <row r="1121" spans="1:9" x14ac:dyDescent="0.25">
      <c r="A1121" s="204" t="s">
        <v>1172</v>
      </c>
      <c r="B1121" s="9" t="str">
        <f t="shared" si="34"/>
        <v>24142006</v>
      </c>
      <c r="C1121" s="9" t="str">
        <f>VLOOKUP(B1121,COA!A:B,2,FALSE)</f>
        <v>WH PR - 401k Contributions</v>
      </c>
      <c r="D1121" s="338" t="str">
        <f t="shared" si="35"/>
        <v>C241</v>
      </c>
      <c r="E1121" s="338" t="s">
        <v>6886</v>
      </c>
      <c r="G1121" s="338">
        <v>0</v>
      </c>
      <c r="H1121" s="204" t="s">
        <v>77</v>
      </c>
      <c r="I1121" s="204" t="s">
        <v>7415</v>
      </c>
    </row>
    <row r="1122" spans="1:9" x14ac:dyDescent="0.25">
      <c r="A1122" s="204" t="s">
        <v>1173</v>
      </c>
      <c r="B1122" s="9" t="str">
        <f t="shared" si="34"/>
        <v>24142008</v>
      </c>
      <c r="C1122" s="9" t="str">
        <f>VLOOKUP(B1122,COA!A:B,2,FALSE)</f>
        <v>WH PR - Garnishments</v>
      </c>
      <c r="D1122" s="338" t="str">
        <f t="shared" si="35"/>
        <v>C241</v>
      </c>
      <c r="E1122" s="338" t="s">
        <v>6886</v>
      </c>
      <c r="G1122" s="338">
        <v>0</v>
      </c>
      <c r="H1122" s="204" t="s">
        <v>77</v>
      </c>
      <c r="I1122" s="204" t="s">
        <v>7415</v>
      </c>
    </row>
    <row r="1123" spans="1:9" x14ac:dyDescent="0.25">
      <c r="A1123" s="204" t="s">
        <v>1174</v>
      </c>
      <c r="B1123" s="9" t="str">
        <f t="shared" si="34"/>
        <v>24142009</v>
      </c>
      <c r="C1123" s="9" t="str">
        <f>VLOOKUP(B1123,COA!A:B,2,FALSE)</f>
        <v>WH PR - Life Insurance</v>
      </c>
      <c r="D1123" s="338" t="str">
        <f t="shared" si="35"/>
        <v>C241</v>
      </c>
      <c r="E1123" s="338" t="s">
        <v>6886</v>
      </c>
      <c r="G1123" s="338">
        <v>0</v>
      </c>
      <c r="H1123" s="204" t="s">
        <v>77</v>
      </c>
      <c r="I1123" s="204" t="s">
        <v>7415</v>
      </c>
    </row>
    <row r="1124" spans="1:9" x14ac:dyDescent="0.25">
      <c r="A1124" s="204" t="s">
        <v>1175</v>
      </c>
      <c r="B1124" s="9" t="str">
        <f t="shared" si="34"/>
        <v>24142010</v>
      </c>
      <c r="C1124" s="9" t="str">
        <f>VLOOKUP(B1124,COA!A:B,2,FALSE)</f>
        <v>WH PR - Tax Coll Pay FIT</v>
      </c>
      <c r="D1124" s="338" t="str">
        <f t="shared" si="35"/>
        <v>C241</v>
      </c>
      <c r="E1124" s="338" t="s">
        <v>6886</v>
      </c>
      <c r="G1124" s="338">
        <v>0</v>
      </c>
      <c r="H1124" s="204" t="s">
        <v>77</v>
      </c>
      <c r="I1124" s="204" t="s">
        <v>7415</v>
      </c>
    </row>
    <row r="1125" spans="1:9" x14ac:dyDescent="0.25">
      <c r="A1125" s="204" t="s">
        <v>1176</v>
      </c>
      <c r="B1125" s="9" t="str">
        <f t="shared" si="34"/>
        <v>24142011</v>
      </c>
      <c r="C1125" s="9" t="str">
        <f>VLOOKUP(B1125,COA!A:B,2,FALSE)</f>
        <v>WH PR - Tax Coll Pay SUI</v>
      </c>
      <c r="D1125" s="338" t="str">
        <f t="shared" si="35"/>
        <v>C241</v>
      </c>
      <c r="E1125" s="338" t="s">
        <v>6886</v>
      </c>
      <c r="G1125" s="338">
        <v>0</v>
      </c>
      <c r="H1125" s="204" t="s">
        <v>77</v>
      </c>
      <c r="I1125" s="204" t="s">
        <v>7415</v>
      </c>
    </row>
    <row r="1126" spans="1:9" x14ac:dyDescent="0.25">
      <c r="A1126" s="204" t="s">
        <v>1177</v>
      </c>
      <c r="B1126" s="9" t="str">
        <f t="shared" si="34"/>
        <v>24142012</v>
      </c>
      <c r="C1126" s="9" t="str">
        <f>VLOOKUP(B1126,COA!A:B,2,FALSE)</f>
        <v>WH PR - Tax Coll Pay LIT</v>
      </c>
      <c r="D1126" s="338" t="str">
        <f t="shared" si="35"/>
        <v>C241</v>
      </c>
      <c r="E1126" s="338" t="s">
        <v>6886</v>
      </c>
      <c r="G1126" s="338">
        <v>0</v>
      </c>
      <c r="H1126" s="204" t="s">
        <v>77</v>
      </c>
      <c r="I1126" s="204" t="s">
        <v>7415</v>
      </c>
    </row>
    <row r="1127" spans="1:9" x14ac:dyDescent="0.25">
      <c r="A1127" s="204" t="s">
        <v>1178</v>
      </c>
      <c r="B1127" s="9" t="str">
        <f t="shared" si="34"/>
        <v>24142013</v>
      </c>
      <c r="C1127" s="9" t="str">
        <f>VLOOKUP(B1127,COA!A:B,2,FALSE)</f>
        <v>WH PR - Tax Coll Pay FICA</v>
      </c>
      <c r="D1127" s="338" t="str">
        <f t="shared" si="35"/>
        <v>C241</v>
      </c>
      <c r="E1127" s="338" t="s">
        <v>6886</v>
      </c>
      <c r="G1127" s="338">
        <v>0</v>
      </c>
      <c r="H1127" s="204" t="s">
        <v>77</v>
      </c>
      <c r="I1127" s="204" t="s">
        <v>7415</v>
      </c>
    </row>
    <row r="1128" spans="1:9" x14ac:dyDescent="0.25">
      <c r="A1128" s="204" t="s">
        <v>1179</v>
      </c>
      <c r="B1128" s="9" t="str">
        <f t="shared" si="34"/>
        <v>24142014</v>
      </c>
      <c r="C1128" s="9" t="str">
        <f>VLOOKUP(B1128,COA!A:B,2,FALSE)</f>
        <v>WH PR - ESPP</v>
      </c>
      <c r="D1128" s="338" t="str">
        <f t="shared" si="35"/>
        <v>C241</v>
      </c>
      <c r="E1128" s="338" t="s">
        <v>6886</v>
      </c>
      <c r="G1128" s="338">
        <v>0</v>
      </c>
      <c r="H1128" s="204" t="s">
        <v>77</v>
      </c>
      <c r="I1128" s="204" t="s">
        <v>7415</v>
      </c>
    </row>
    <row r="1129" spans="1:9" x14ac:dyDescent="0.25">
      <c r="A1129" s="204" t="s">
        <v>1180</v>
      </c>
      <c r="B1129" s="9" t="str">
        <f t="shared" si="34"/>
        <v>24142099</v>
      </c>
      <c r="C1129" s="9" t="str">
        <f>VLOOKUP(B1129,COA!A:B,2,FALSE)</f>
        <v>WH PR - Miscellaneous</v>
      </c>
      <c r="D1129" s="338" t="str">
        <f t="shared" si="35"/>
        <v>C241</v>
      </c>
      <c r="E1129" s="338" t="s">
        <v>6886</v>
      </c>
      <c r="G1129" s="338">
        <v>0</v>
      </c>
      <c r="H1129" s="204" t="s">
        <v>77</v>
      </c>
      <c r="I1129" s="204" t="s">
        <v>7415</v>
      </c>
    </row>
    <row r="1130" spans="1:9" x14ac:dyDescent="0.25">
      <c r="A1130" s="204" t="s">
        <v>1181</v>
      </c>
      <c r="B1130" s="9" t="str">
        <f t="shared" si="34"/>
        <v>24142100</v>
      </c>
      <c r="C1130" s="9" t="str">
        <f>VLOOKUP(B1130,COA!A:B,2,FALSE)</f>
        <v>WH PR - Tax Coll SIT</v>
      </c>
      <c r="D1130" s="338" t="str">
        <f t="shared" si="35"/>
        <v>C241</v>
      </c>
      <c r="E1130" s="338" t="s">
        <v>6886</v>
      </c>
      <c r="G1130" s="338">
        <v>0</v>
      </c>
      <c r="H1130" s="204" t="s">
        <v>77</v>
      </c>
      <c r="I1130" s="204" t="s">
        <v>7415</v>
      </c>
    </row>
    <row r="1131" spans="1:9" x14ac:dyDescent="0.25">
      <c r="A1131" s="204" t="s">
        <v>1182</v>
      </c>
      <c r="B1131" s="9" t="str">
        <f t="shared" si="34"/>
        <v>24150000</v>
      </c>
      <c r="C1131" s="9" t="str">
        <f>VLOOKUP(B1131,COA!A:B,2,FALSE)</f>
        <v>Operating Lease Current Liability</v>
      </c>
      <c r="D1131" s="338" t="str">
        <f t="shared" si="35"/>
        <v>C241</v>
      </c>
      <c r="E1131" s="338" t="s">
        <v>6886</v>
      </c>
      <c r="G1131" s="338">
        <v>0</v>
      </c>
      <c r="H1131" s="204" t="s">
        <v>77</v>
      </c>
      <c r="I1131" s="204" t="s">
        <v>7415</v>
      </c>
    </row>
    <row r="1132" spans="1:9" x14ac:dyDescent="0.25">
      <c r="A1132" s="204" t="s">
        <v>1183</v>
      </c>
      <c r="B1132" s="9" t="str">
        <f t="shared" si="34"/>
        <v>24161000</v>
      </c>
      <c r="C1132" s="9" t="str">
        <f>VLOOKUP(B1132,COA!A:B,2,FALSE)</f>
        <v>GRIR - Stock E (Materials)</v>
      </c>
      <c r="D1132" s="338" t="str">
        <f t="shared" si="35"/>
        <v>C241</v>
      </c>
      <c r="E1132" s="338" t="s">
        <v>6886</v>
      </c>
      <c r="G1132" s="338">
        <v>0</v>
      </c>
      <c r="H1132" s="204" t="s">
        <v>77</v>
      </c>
      <c r="I1132" s="204" t="s">
        <v>7415</v>
      </c>
    </row>
    <row r="1133" spans="1:9" x14ac:dyDescent="0.25">
      <c r="A1133" s="204" t="s">
        <v>1184</v>
      </c>
      <c r="B1133" s="9" t="str">
        <f t="shared" si="34"/>
        <v>24162000</v>
      </c>
      <c r="C1133" s="9" t="str">
        <f>VLOOKUP(B1133,COA!A:B,2,FALSE)</f>
        <v>GRIR - Stock D (Fuel)</v>
      </c>
      <c r="D1133" s="338" t="str">
        <f t="shared" si="35"/>
        <v>C241</v>
      </c>
      <c r="E1133" s="338" t="s">
        <v>6886</v>
      </c>
      <c r="G1133" s="338">
        <v>0</v>
      </c>
      <c r="H1133" s="204" t="s">
        <v>77</v>
      </c>
      <c r="I1133" s="204" t="s">
        <v>7415</v>
      </c>
    </row>
    <row r="1134" spans="1:9" x14ac:dyDescent="0.25">
      <c r="A1134" s="204" t="s">
        <v>1185</v>
      </c>
      <c r="B1134" s="9" t="str">
        <f t="shared" si="34"/>
        <v>24163000</v>
      </c>
      <c r="C1134" s="9" t="str">
        <f>VLOOKUP(B1134,COA!A:B,2,FALSE)</f>
        <v>GRIR - Stock C (Chemicals)</v>
      </c>
      <c r="D1134" s="338" t="str">
        <f t="shared" si="35"/>
        <v>C241</v>
      </c>
      <c r="E1134" s="338" t="s">
        <v>6886</v>
      </c>
      <c r="G1134" s="338">
        <v>0</v>
      </c>
      <c r="H1134" s="204" t="s">
        <v>77</v>
      </c>
      <c r="I1134" s="204" t="s">
        <v>7415</v>
      </c>
    </row>
    <row r="1135" spans="1:9" x14ac:dyDescent="0.25">
      <c r="A1135" s="204" t="s">
        <v>1186</v>
      </c>
      <c r="B1135" s="9" t="str">
        <f t="shared" si="34"/>
        <v>24164000</v>
      </c>
      <c r="C1135" s="9" t="str">
        <f>VLOOKUP(B1135,COA!A:B,2,FALSE)</f>
        <v>GRIR - Non-inventory</v>
      </c>
      <c r="D1135" s="338" t="str">
        <f t="shared" si="35"/>
        <v>C241</v>
      </c>
      <c r="E1135" s="338" t="s">
        <v>6886</v>
      </c>
      <c r="G1135" s="338">
        <v>0</v>
      </c>
      <c r="H1135" s="204" t="s">
        <v>77</v>
      </c>
      <c r="I1135" s="204" t="s">
        <v>7415</v>
      </c>
    </row>
    <row r="1136" spans="1:9" x14ac:dyDescent="0.25">
      <c r="A1136" s="204" t="s">
        <v>1187</v>
      </c>
      <c r="B1136" s="9" t="str">
        <f t="shared" si="34"/>
        <v>24165000</v>
      </c>
      <c r="C1136" s="9" t="str">
        <f>VLOOKUP(B1136,COA!A:B,2,FALSE)</f>
        <v>GRIR - Freight</v>
      </c>
      <c r="D1136" s="338" t="str">
        <f t="shared" si="35"/>
        <v>C241</v>
      </c>
      <c r="E1136" s="338" t="s">
        <v>6886</v>
      </c>
      <c r="G1136" s="338">
        <v>0</v>
      </c>
      <c r="H1136" s="204" t="s">
        <v>77</v>
      </c>
      <c r="I1136" s="204" t="s">
        <v>7415</v>
      </c>
    </row>
    <row r="1137" spans="1:9" x14ac:dyDescent="0.25">
      <c r="A1137" s="204" t="s">
        <v>1188</v>
      </c>
      <c r="B1137" s="9" t="str">
        <f t="shared" si="34"/>
        <v>24166000</v>
      </c>
      <c r="C1137" s="9" t="str">
        <f>VLOOKUP(B1137,COA!A:B,2,FALSE)</f>
        <v>GRIR-Capital Expenditure Accruals Reclass</v>
      </c>
      <c r="D1137" s="338" t="str">
        <f t="shared" si="35"/>
        <v>C241</v>
      </c>
      <c r="E1137" s="338" t="s">
        <v>6886</v>
      </c>
      <c r="G1137" s="338">
        <v>0</v>
      </c>
      <c r="H1137" s="204" t="s">
        <v>77</v>
      </c>
      <c r="I1137" s="204" t="s">
        <v>7415</v>
      </c>
    </row>
    <row r="1138" spans="1:9" x14ac:dyDescent="0.25">
      <c r="A1138" s="204" t="s">
        <v>1189</v>
      </c>
      <c r="B1138" s="9" t="str">
        <f t="shared" si="34"/>
        <v>24169999</v>
      </c>
      <c r="C1138" s="9" t="str">
        <f>VLOOKUP(B1138,COA!A:B,2,FALSE)</f>
        <v>GRIR - Conversion</v>
      </c>
      <c r="D1138" s="338" t="str">
        <f t="shared" si="35"/>
        <v>C241</v>
      </c>
      <c r="E1138" s="338" t="s">
        <v>6886</v>
      </c>
      <c r="G1138" s="338">
        <v>0</v>
      </c>
      <c r="H1138" s="204" t="s">
        <v>77</v>
      </c>
      <c r="I1138" s="204" t="s">
        <v>7415</v>
      </c>
    </row>
    <row r="1139" spans="1:9" x14ac:dyDescent="0.25">
      <c r="A1139" s="204" t="s">
        <v>1190</v>
      </c>
      <c r="B1139" s="9" t="str">
        <f t="shared" si="34"/>
        <v>24171000</v>
      </c>
      <c r="C1139" s="9" t="str">
        <f>VLOOKUP(B1139,COA!A:B,2,FALSE)</f>
        <v>CFO Miscellaneous</v>
      </c>
      <c r="D1139" s="338" t="str">
        <f t="shared" si="35"/>
        <v>C241</v>
      </c>
      <c r="E1139" s="338" t="s">
        <v>6886</v>
      </c>
      <c r="G1139" s="338">
        <v>0</v>
      </c>
      <c r="H1139" s="204" t="s">
        <v>77</v>
      </c>
      <c r="I1139" s="204" t="s">
        <v>7415</v>
      </c>
    </row>
    <row r="1140" spans="1:9" x14ac:dyDescent="0.25">
      <c r="A1140" s="204" t="s">
        <v>1191</v>
      </c>
      <c r="B1140" s="9" t="str">
        <f t="shared" si="34"/>
        <v>24171001</v>
      </c>
      <c r="C1140" s="9" t="str">
        <f>VLOOKUP(B1140,COA!A:B,2,FALSE)</f>
        <v>CFO Customer Assistance</v>
      </c>
      <c r="D1140" s="338" t="str">
        <f t="shared" si="35"/>
        <v>C241</v>
      </c>
      <c r="E1140" s="338" t="s">
        <v>6886</v>
      </c>
      <c r="G1140" s="338">
        <v>0</v>
      </c>
      <c r="H1140" s="204" t="s">
        <v>77</v>
      </c>
      <c r="I1140" s="204" t="s">
        <v>7415</v>
      </c>
    </row>
    <row r="1141" spans="1:9" x14ac:dyDescent="0.25">
      <c r="A1141" s="204" t="s">
        <v>1192</v>
      </c>
      <c r="B1141" s="9" t="str">
        <f t="shared" si="34"/>
        <v>24171005</v>
      </c>
      <c r="C1141" s="9" t="str">
        <f>VLOOKUP(B1141,COA!A:B,2,FALSE)</f>
        <v>CFO Customer Assistance Non Pledged</v>
      </c>
      <c r="D1141" s="338" t="str">
        <f t="shared" si="35"/>
        <v>C241</v>
      </c>
      <c r="E1141" s="338" t="s">
        <v>6886</v>
      </c>
      <c r="G1141" s="338">
        <v>0</v>
      </c>
      <c r="H1141" s="204" t="s">
        <v>77</v>
      </c>
      <c r="I1141" s="204" t="s">
        <v>7415</v>
      </c>
    </row>
    <row r="1142" spans="1:9" x14ac:dyDescent="0.25">
      <c r="A1142" s="204" t="s">
        <v>1193</v>
      </c>
      <c r="B1142" s="9" t="str">
        <f t="shared" si="34"/>
        <v>24171006</v>
      </c>
      <c r="C1142" s="9" t="str">
        <f>VLOOKUP(B1142,COA!A:B,2,FALSE)</f>
        <v>CFO Customer Assistance Pledged</v>
      </c>
      <c r="D1142" s="338" t="str">
        <f t="shared" si="35"/>
        <v>C241</v>
      </c>
      <c r="E1142" s="338" t="s">
        <v>6886</v>
      </c>
      <c r="G1142" s="338">
        <v>0</v>
      </c>
      <c r="H1142" s="204" t="s">
        <v>77</v>
      </c>
      <c r="I1142" s="204" t="s">
        <v>7415</v>
      </c>
    </row>
    <row r="1143" spans="1:9" x14ac:dyDescent="0.25">
      <c r="A1143" s="204" t="s">
        <v>1194</v>
      </c>
      <c r="B1143" s="9" t="str">
        <f t="shared" si="34"/>
        <v>24171009</v>
      </c>
      <c r="C1143" s="9" t="str">
        <f>VLOOKUP(B1143,COA!A:B,2,FALSE)</f>
        <v>CFO Primacy fees</v>
      </c>
      <c r="D1143" s="338" t="str">
        <f t="shared" si="35"/>
        <v>C241</v>
      </c>
      <c r="E1143" s="338" t="s">
        <v>6886</v>
      </c>
      <c r="G1143" s="338">
        <v>0</v>
      </c>
      <c r="H1143" s="204" t="s">
        <v>77</v>
      </c>
      <c r="I1143" s="204" t="s">
        <v>7415</v>
      </c>
    </row>
    <row r="1144" spans="1:9" x14ac:dyDescent="0.25">
      <c r="A1144" s="204" t="s">
        <v>1195</v>
      </c>
      <c r="B1144" s="9" t="str">
        <f t="shared" si="34"/>
        <v>24171011</v>
      </c>
      <c r="C1144" s="9" t="str">
        <f>VLOOKUP(B1144,COA!A:B,2,FALSE)</f>
        <v>CFO MC/Sewer Revenue/Cash</v>
      </c>
      <c r="D1144" s="338" t="str">
        <f t="shared" si="35"/>
        <v>C241</v>
      </c>
      <c r="E1144" s="338" t="s">
        <v>6886</v>
      </c>
      <c r="G1144" s="338">
        <v>0</v>
      </c>
      <c r="H1144" s="204" t="s">
        <v>77</v>
      </c>
      <c r="I1144" s="204" t="s">
        <v>7415</v>
      </c>
    </row>
    <row r="1145" spans="1:9" x14ac:dyDescent="0.25">
      <c r="A1145" s="204" t="s">
        <v>1196</v>
      </c>
      <c r="B1145" s="9" t="str">
        <f t="shared" si="34"/>
        <v>24171012</v>
      </c>
      <c r="C1145" s="9" t="str">
        <f>VLOOKUP(B1145,COA!A:B,2,FALSE)</f>
        <v>CFO MC/Sewer A/R</v>
      </c>
      <c r="D1145" s="338" t="str">
        <f t="shared" si="35"/>
        <v>C241</v>
      </c>
      <c r="E1145" s="338" t="s">
        <v>6886</v>
      </c>
      <c r="G1145" s="338">
        <v>0</v>
      </c>
      <c r="H1145" s="204" t="s">
        <v>77</v>
      </c>
      <c r="I1145" s="204" t="s">
        <v>7415</v>
      </c>
    </row>
    <row r="1146" spans="1:9" x14ac:dyDescent="0.25">
      <c r="A1146" s="204" t="s">
        <v>1197</v>
      </c>
      <c r="B1146" s="9" t="str">
        <f t="shared" si="34"/>
        <v>24171013</v>
      </c>
      <c r="C1146" s="9" t="str">
        <f>VLOOKUP(B1146,COA!A:B,2,FALSE)</f>
        <v>CFO MC/Sewer Adjustment</v>
      </c>
      <c r="D1146" s="338" t="str">
        <f t="shared" si="35"/>
        <v>C241</v>
      </c>
      <c r="E1146" s="338" t="s">
        <v>6886</v>
      </c>
      <c r="G1146" s="338">
        <v>0</v>
      </c>
      <c r="H1146" s="204" t="s">
        <v>77</v>
      </c>
      <c r="I1146" s="204" t="s">
        <v>7415</v>
      </c>
    </row>
    <row r="1147" spans="1:9" x14ac:dyDescent="0.25">
      <c r="A1147" s="204" t="s">
        <v>1198</v>
      </c>
      <c r="B1147" s="9" t="str">
        <f t="shared" si="34"/>
        <v>24171014</v>
      </c>
      <c r="C1147" s="9" t="str">
        <f>VLOOKUP(B1147,COA!A:B,2,FALSE)</f>
        <v>CFO MC/Sewer ChgOff</v>
      </c>
      <c r="D1147" s="338" t="str">
        <f t="shared" si="35"/>
        <v>C241</v>
      </c>
      <c r="E1147" s="338" t="s">
        <v>6886</v>
      </c>
      <c r="G1147" s="338">
        <v>0</v>
      </c>
      <c r="H1147" s="204" t="s">
        <v>77</v>
      </c>
      <c r="I1147" s="204" t="s">
        <v>7415</v>
      </c>
    </row>
    <row r="1148" spans="1:9" x14ac:dyDescent="0.25">
      <c r="A1148" s="204" t="s">
        <v>1199</v>
      </c>
      <c r="B1148" s="9" t="str">
        <f t="shared" si="34"/>
        <v>24172000</v>
      </c>
      <c r="C1148" s="9" t="str">
        <f>VLOOKUP(B1148,COA!A:B,2,FALSE)</f>
        <v>CFO Sales Tax</v>
      </c>
      <c r="D1148" s="338" t="str">
        <f t="shared" si="35"/>
        <v>C241</v>
      </c>
      <c r="E1148" s="338" t="s">
        <v>6886</v>
      </c>
      <c r="G1148" s="338">
        <v>0</v>
      </c>
      <c r="H1148" s="204" t="s">
        <v>77</v>
      </c>
      <c r="I1148" s="204" t="s">
        <v>7415</v>
      </c>
    </row>
    <row r="1149" spans="1:9" x14ac:dyDescent="0.25">
      <c r="A1149" s="204" t="s">
        <v>1200</v>
      </c>
      <c r="B1149" s="9" t="str">
        <f t="shared" si="34"/>
        <v>24172001</v>
      </c>
      <c r="C1149" s="9" t="str">
        <f>VLOOKUP(B1149,COA!A:B,2,FALSE)</f>
        <v>CFO Sales Tax AZ</v>
      </c>
      <c r="D1149" s="338" t="str">
        <f t="shared" si="35"/>
        <v>C241</v>
      </c>
      <c r="E1149" s="338" t="s">
        <v>6886</v>
      </c>
      <c r="G1149" s="338">
        <v>0</v>
      </c>
      <c r="H1149" s="204" t="s">
        <v>77</v>
      </c>
      <c r="I1149" s="204" t="s">
        <v>7415</v>
      </c>
    </row>
    <row r="1150" spans="1:9" x14ac:dyDescent="0.25">
      <c r="A1150" s="204" t="s">
        <v>1201</v>
      </c>
      <c r="B1150" s="9" t="str">
        <f t="shared" si="34"/>
        <v>24172002</v>
      </c>
      <c r="C1150" s="9" t="str">
        <f>VLOOKUP(B1150,COA!A:B,2,FALSE)</f>
        <v>CFO Sales Tax CA Chula Vista</v>
      </c>
      <c r="D1150" s="338" t="str">
        <f t="shared" si="35"/>
        <v>C241</v>
      </c>
      <c r="E1150" s="338" t="s">
        <v>6886</v>
      </c>
      <c r="G1150" s="338">
        <v>0</v>
      </c>
      <c r="H1150" s="204" t="s">
        <v>77</v>
      </c>
      <c r="I1150" s="204" t="s">
        <v>7415</v>
      </c>
    </row>
    <row r="1151" spans="1:9" x14ac:dyDescent="0.25">
      <c r="A1151" s="204" t="s">
        <v>1202</v>
      </c>
      <c r="B1151" s="9" t="str">
        <f t="shared" si="34"/>
        <v>24172003</v>
      </c>
      <c r="C1151" s="9" t="str">
        <f>VLOOKUP(B1151,COA!A:B,2,FALSE)</f>
        <v>CFO Sales Tax CA Sacramento</v>
      </c>
      <c r="D1151" s="338" t="str">
        <f t="shared" si="35"/>
        <v>C241</v>
      </c>
      <c r="E1151" s="338" t="s">
        <v>6886</v>
      </c>
      <c r="G1151" s="338">
        <v>0</v>
      </c>
      <c r="H1151" s="204" t="s">
        <v>77</v>
      </c>
      <c r="I1151" s="204" t="s">
        <v>7415</v>
      </c>
    </row>
    <row r="1152" spans="1:9" x14ac:dyDescent="0.25">
      <c r="A1152" s="204" t="s">
        <v>1203</v>
      </c>
      <c r="B1152" s="9" t="str">
        <f t="shared" si="34"/>
        <v>24172004</v>
      </c>
      <c r="C1152" s="9" t="str">
        <f>VLOOKUP(B1152,COA!A:B,2,FALSE)</f>
        <v>CFO Sales Tax CA San Marino</v>
      </c>
      <c r="D1152" s="338" t="str">
        <f t="shared" si="35"/>
        <v>C241</v>
      </c>
      <c r="E1152" s="338" t="s">
        <v>6886</v>
      </c>
      <c r="G1152" s="338">
        <v>0</v>
      </c>
      <c r="H1152" s="204" t="s">
        <v>77</v>
      </c>
      <c r="I1152" s="204" t="s">
        <v>7415</v>
      </c>
    </row>
    <row r="1153" spans="1:9" x14ac:dyDescent="0.25">
      <c r="A1153" s="204" t="s">
        <v>1204</v>
      </c>
      <c r="B1153" s="9" t="str">
        <f t="shared" ref="B1153:B1215" si="36">RIGHT(A1153,8)</f>
        <v>24172005</v>
      </c>
      <c r="C1153" s="9" t="str">
        <f>VLOOKUP(B1153,COA!A:B,2,FALSE)</f>
        <v>CFO Sales Tax FL</v>
      </c>
      <c r="D1153" s="338" t="str">
        <f t="shared" si="35"/>
        <v>C241</v>
      </c>
      <c r="E1153" s="338" t="s">
        <v>6886</v>
      </c>
      <c r="G1153" s="338">
        <v>0</v>
      </c>
      <c r="H1153" s="204" t="s">
        <v>77</v>
      </c>
      <c r="I1153" s="204" t="s">
        <v>7415</v>
      </c>
    </row>
    <row r="1154" spans="1:9" x14ac:dyDescent="0.25">
      <c r="A1154" s="204" t="s">
        <v>1205</v>
      </c>
      <c r="B1154" s="9" t="str">
        <f t="shared" si="36"/>
        <v>24172006</v>
      </c>
      <c r="C1154" s="9" t="str">
        <f>VLOOKUP(B1154,COA!A:B,2,FALSE)</f>
        <v>CFO Sales Tax IL Belleville</v>
      </c>
      <c r="D1154" s="338" t="str">
        <f t="shared" si="35"/>
        <v>C241</v>
      </c>
      <c r="E1154" s="338" t="s">
        <v>6886</v>
      </c>
      <c r="G1154" s="338">
        <v>0</v>
      </c>
      <c r="H1154" s="204" t="s">
        <v>77</v>
      </c>
      <c r="I1154" s="204" t="s">
        <v>7415</v>
      </c>
    </row>
    <row r="1155" spans="1:9" x14ac:dyDescent="0.25">
      <c r="A1155" s="204" t="s">
        <v>1206</v>
      </c>
      <c r="B1155" s="9" t="str">
        <f t="shared" si="36"/>
        <v>24172007</v>
      </c>
      <c r="C1155" s="9" t="str">
        <f>VLOOKUP(B1155,COA!A:B,2,FALSE)</f>
        <v>CFO Sales Tax IL Alton</v>
      </c>
      <c r="D1155" s="338" t="str">
        <f t="shared" si="35"/>
        <v>C241</v>
      </c>
      <c r="E1155" s="338" t="s">
        <v>6886</v>
      </c>
      <c r="G1155" s="338">
        <v>0</v>
      </c>
      <c r="H1155" s="204" t="s">
        <v>77</v>
      </c>
      <c r="I1155" s="204" t="s">
        <v>7415</v>
      </c>
    </row>
    <row r="1156" spans="1:9" x14ac:dyDescent="0.25">
      <c r="A1156" s="204" t="s">
        <v>1207</v>
      </c>
      <c r="B1156" s="9" t="str">
        <f t="shared" si="36"/>
        <v>24172008</v>
      </c>
      <c r="C1156" s="9" t="str">
        <f>VLOOKUP(B1156,COA!A:B,2,FALSE)</f>
        <v>CFO Sales Tax IL Chicago</v>
      </c>
      <c r="D1156" s="338" t="str">
        <f t="shared" si="35"/>
        <v>C241</v>
      </c>
      <c r="E1156" s="338" t="s">
        <v>6886</v>
      </c>
      <c r="G1156" s="338">
        <v>0</v>
      </c>
      <c r="H1156" s="204" t="s">
        <v>77</v>
      </c>
      <c r="I1156" s="204" t="s">
        <v>7415</v>
      </c>
    </row>
    <row r="1157" spans="1:9" x14ac:dyDescent="0.25">
      <c r="A1157" s="204" t="s">
        <v>1208</v>
      </c>
      <c r="B1157" s="9" t="str">
        <f t="shared" si="36"/>
        <v>24172009</v>
      </c>
      <c r="C1157" s="9" t="str">
        <f>VLOOKUP(B1157,COA!A:B,2,FALSE)</f>
        <v>CFO Sales Tax IN</v>
      </c>
      <c r="D1157" s="338" t="str">
        <f t="shared" si="35"/>
        <v>C241</v>
      </c>
      <c r="E1157" s="338" t="s">
        <v>6886</v>
      </c>
      <c r="G1157" s="338">
        <v>0</v>
      </c>
      <c r="H1157" s="204" t="s">
        <v>77</v>
      </c>
      <c r="I1157" s="204" t="s">
        <v>7415</v>
      </c>
    </row>
    <row r="1158" spans="1:9" x14ac:dyDescent="0.25">
      <c r="A1158" s="204" t="s">
        <v>1209</v>
      </c>
      <c r="B1158" s="9" t="str">
        <f t="shared" si="36"/>
        <v>24172010</v>
      </c>
      <c r="C1158" s="9" t="str">
        <f>VLOOKUP(B1158,COA!A:B,2,FALSE)</f>
        <v>CFO Sales Tax KY</v>
      </c>
      <c r="D1158" s="338" t="str">
        <f t="shared" si="35"/>
        <v>C241</v>
      </c>
      <c r="E1158" s="338" t="s">
        <v>6886</v>
      </c>
      <c r="G1158" s="338">
        <v>0</v>
      </c>
      <c r="H1158" s="204" t="s">
        <v>77</v>
      </c>
      <c r="I1158" s="204" t="s">
        <v>7415</v>
      </c>
    </row>
    <row r="1159" spans="1:9" x14ac:dyDescent="0.25">
      <c r="A1159" s="204" t="s">
        <v>1210</v>
      </c>
      <c r="B1159" s="9" t="str">
        <f t="shared" si="36"/>
        <v>24172011</v>
      </c>
      <c r="C1159" s="9" t="str">
        <f>VLOOKUP(B1159,COA!A:B,2,FALSE)</f>
        <v>CFO Sales Tax MO</v>
      </c>
      <c r="D1159" s="338" t="str">
        <f t="shared" si="35"/>
        <v>C241</v>
      </c>
      <c r="E1159" s="338" t="s">
        <v>6886</v>
      </c>
      <c r="G1159" s="338">
        <v>0</v>
      </c>
      <c r="H1159" s="204" t="s">
        <v>77</v>
      </c>
      <c r="I1159" s="204" t="s">
        <v>7415</v>
      </c>
    </row>
    <row r="1160" spans="1:9" x14ac:dyDescent="0.25">
      <c r="A1160" s="204" t="s">
        <v>1211</v>
      </c>
      <c r="B1160" s="9" t="str">
        <f t="shared" si="36"/>
        <v>24172012</v>
      </c>
      <c r="C1160" s="9" t="str">
        <f>VLOOKUP(B1160,COA!A:B,2,FALSE)</f>
        <v>CFO Sales Tax NJ</v>
      </c>
      <c r="D1160" s="338" t="str">
        <f t="shared" si="35"/>
        <v>C241</v>
      </c>
      <c r="E1160" s="338" t="s">
        <v>6886</v>
      </c>
      <c r="G1160" s="338">
        <v>0</v>
      </c>
      <c r="H1160" s="204" t="s">
        <v>77</v>
      </c>
      <c r="I1160" s="204" t="s">
        <v>7415</v>
      </c>
    </row>
    <row r="1161" spans="1:9" x14ac:dyDescent="0.25">
      <c r="A1161" s="204" t="s">
        <v>1212</v>
      </c>
      <c r="B1161" s="9" t="str">
        <f t="shared" si="36"/>
        <v>24172013</v>
      </c>
      <c r="C1161" s="9" t="str">
        <f>VLOOKUP(B1161,COA!A:B,2,FALSE)</f>
        <v>CFO Sales Tax PA</v>
      </c>
      <c r="D1161" s="338" t="str">
        <f t="shared" si="35"/>
        <v>C241</v>
      </c>
      <c r="E1161" s="338" t="s">
        <v>6886</v>
      </c>
      <c r="G1161" s="338">
        <v>0</v>
      </c>
      <c r="H1161" s="204" t="s">
        <v>77</v>
      </c>
      <c r="I1161" s="204" t="s">
        <v>7415</v>
      </c>
    </row>
    <row r="1162" spans="1:9" x14ac:dyDescent="0.25">
      <c r="A1162" s="204" t="s">
        <v>1213</v>
      </c>
      <c r="B1162" s="9" t="str">
        <f t="shared" si="36"/>
        <v>24172014</v>
      </c>
      <c r="C1162" s="9" t="str">
        <f>VLOOKUP(B1162,COA!A:B,2,FALSE)</f>
        <v>CFO Sales Tax TN</v>
      </c>
      <c r="D1162" s="338" t="str">
        <f t="shared" si="35"/>
        <v>C241</v>
      </c>
      <c r="E1162" s="338" t="s">
        <v>6886</v>
      </c>
      <c r="G1162" s="338">
        <v>0</v>
      </c>
      <c r="H1162" s="204" t="s">
        <v>77</v>
      </c>
      <c r="I1162" s="204" t="s">
        <v>7415</v>
      </c>
    </row>
    <row r="1163" spans="1:9" x14ac:dyDescent="0.25">
      <c r="A1163" s="204" t="s">
        <v>1214</v>
      </c>
      <c r="B1163" s="9" t="str">
        <f t="shared" si="36"/>
        <v>24172015</v>
      </c>
      <c r="C1163" s="9" t="str">
        <f>VLOOKUP(B1163,COA!A:B,2,FALSE)</f>
        <v>CFO Sales Tax WV</v>
      </c>
      <c r="D1163" s="338" t="str">
        <f t="shared" ref="D1163:D1226" si="37">+I1163</f>
        <v>C241</v>
      </c>
      <c r="E1163" s="338" t="s">
        <v>6886</v>
      </c>
      <c r="G1163" s="338">
        <v>0</v>
      </c>
      <c r="H1163" s="204" t="s">
        <v>77</v>
      </c>
      <c r="I1163" s="204" t="s">
        <v>7415</v>
      </c>
    </row>
    <row r="1164" spans="1:9" x14ac:dyDescent="0.25">
      <c r="A1164" s="204" t="s">
        <v>1215</v>
      </c>
      <c r="B1164" s="9" t="str">
        <f t="shared" si="36"/>
        <v>24172016</v>
      </c>
      <c r="C1164" s="9" t="str">
        <f>VLOOKUP(B1164,COA!A:B,2,FALSE)</f>
        <v>CFO Sales Tax NY</v>
      </c>
      <c r="D1164" s="338" t="str">
        <f t="shared" si="37"/>
        <v>C241</v>
      </c>
      <c r="E1164" s="338" t="s">
        <v>6886</v>
      </c>
      <c r="G1164" s="338">
        <v>0</v>
      </c>
      <c r="H1164" s="204" t="s">
        <v>77</v>
      </c>
      <c r="I1164" s="204" t="s">
        <v>7415</v>
      </c>
    </row>
    <row r="1165" spans="1:9" x14ac:dyDescent="0.25">
      <c r="A1165" s="204" t="s">
        <v>1216</v>
      </c>
      <c r="B1165" s="9" t="str">
        <f t="shared" si="36"/>
        <v>24172017</v>
      </c>
      <c r="C1165" s="9" t="str">
        <f>VLOOKUP(B1165,COA!A:B,2,FALSE)</f>
        <v>CFO Sales Tax Texas</v>
      </c>
      <c r="D1165" s="338" t="str">
        <f t="shared" si="37"/>
        <v>C241</v>
      </c>
      <c r="E1165" s="338" t="s">
        <v>6886</v>
      </c>
      <c r="G1165" s="338">
        <v>0</v>
      </c>
      <c r="H1165" s="204" t="s">
        <v>77</v>
      </c>
      <c r="I1165" s="204" t="s">
        <v>7415</v>
      </c>
    </row>
    <row r="1166" spans="1:9" x14ac:dyDescent="0.25">
      <c r="A1166" s="204" t="s">
        <v>1217</v>
      </c>
      <c r="B1166" s="9" t="str">
        <f t="shared" si="36"/>
        <v>24172100</v>
      </c>
      <c r="C1166" s="9" t="str">
        <f>VLOOKUP(B1166,COA!A:B,2,FALSE)</f>
        <v>CFO Sales Tax - from CIS</v>
      </c>
      <c r="D1166" s="338" t="str">
        <f t="shared" si="37"/>
        <v>C241</v>
      </c>
      <c r="E1166" s="338" t="s">
        <v>6886</v>
      </c>
      <c r="G1166" s="338">
        <v>0</v>
      </c>
      <c r="H1166" s="204" t="s">
        <v>77</v>
      </c>
      <c r="I1166" s="204" t="s">
        <v>7415</v>
      </c>
    </row>
    <row r="1167" spans="1:9" x14ac:dyDescent="0.25">
      <c r="A1167" s="204" t="s">
        <v>1218</v>
      </c>
      <c r="B1167" s="9" t="str">
        <f t="shared" si="36"/>
        <v>24173000</v>
      </c>
      <c r="C1167" s="9" t="str">
        <f>VLOOKUP(B1167,COA!A:B,2,FALSE)</f>
        <v>CFO Gross Receipts Tax</v>
      </c>
      <c r="D1167" s="338" t="str">
        <f t="shared" si="37"/>
        <v>C241</v>
      </c>
      <c r="E1167" s="338" t="s">
        <v>6886</v>
      </c>
      <c r="G1167" s="338">
        <v>0</v>
      </c>
      <c r="H1167" s="204" t="s">
        <v>77</v>
      </c>
      <c r="I1167" s="204" t="s">
        <v>7415</v>
      </c>
    </row>
    <row r="1168" spans="1:9" x14ac:dyDescent="0.25">
      <c r="A1168" s="204" t="s">
        <v>1219</v>
      </c>
      <c r="B1168" s="9" t="str">
        <f t="shared" si="36"/>
        <v>24173100</v>
      </c>
      <c r="C1168" s="9" t="str">
        <f>VLOOKUP(B1168,COA!A:B,2,FALSE)</f>
        <v>CFO Gross Receipts Tax - from CIS</v>
      </c>
      <c r="D1168" s="338" t="str">
        <f t="shared" si="37"/>
        <v>C241</v>
      </c>
      <c r="E1168" s="338" t="s">
        <v>6886</v>
      </c>
      <c r="G1168" s="338">
        <v>0</v>
      </c>
      <c r="H1168" s="204" t="s">
        <v>77</v>
      </c>
      <c r="I1168" s="204" t="s">
        <v>7415</v>
      </c>
    </row>
    <row r="1169" spans="1:9" x14ac:dyDescent="0.25">
      <c r="A1169" s="204" t="s">
        <v>1220</v>
      </c>
      <c r="B1169" s="9" t="str">
        <f t="shared" si="36"/>
        <v>24174000</v>
      </c>
      <c r="C1169" s="9" t="str">
        <f>VLOOKUP(B1169,COA!A:B,2,FALSE)</f>
        <v>CFO Municipal Tax</v>
      </c>
      <c r="D1169" s="338" t="str">
        <f t="shared" si="37"/>
        <v>C241</v>
      </c>
      <c r="E1169" s="338" t="s">
        <v>6886</v>
      </c>
      <c r="G1169" s="338">
        <v>0</v>
      </c>
      <c r="H1169" s="204" t="s">
        <v>77</v>
      </c>
      <c r="I1169" s="204" t="s">
        <v>7415</v>
      </c>
    </row>
    <row r="1170" spans="1:9" x14ac:dyDescent="0.25">
      <c r="A1170" s="204" t="s">
        <v>1221</v>
      </c>
      <c r="B1170" s="9" t="str">
        <f t="shared" si="36"/>
        <v>24174100</v>
      </c>
      <c r="C1170" s="9" t="str">
        <f>VLOOKUP(B1170,COA!A:B,2,FALSE)</f>
        <v>CFO Municipal Tax - from CIS</v>
      </c>
      <c r="D1170" s="338" t="str">
        <f t="shared" si="37"/>
        <v>C241</v>
      </c>
      <c r="E1170" s="338" t="s">
        <v>6886</v>
      </c>
      <c r="G1170" s="338">
        <v>0</v>
      </c>
      <c r="H1170" s="204" t="s">
        <v>77</v>
      </c>
      <c r="I1170" s="204" t="s">
        <v>7415</v>
      </c>
    </row>
    <row r="1171" spans="1:9" x14ac:dyDescent="0.25">
      <c r="A1171" s="204" t="s">
        <v>1222</v>
      </c>
      <c r="B1171" s="9" t="str">
        <f t="shared" si="36"/>
        <v>24175100</v>
      </c>
      <c r="C1171" s="9" t="str">
        <f>VLOOKUP(B1171,COA!A:B,2,FALSE)</f>
        <v>CFO PUC Surcharge - from CIS</v>
      </c>
      <c r="D1171" s="338" t="str">
        <f t="shared" si="37"/>
        <v>C241</v>
      </c>
      <c r="E1171" s="338" t="s">
        <v>6886</v>
      </c>
      <c r="G1171" s="338">
        <v>0</v>
      </c>
      <c r="H1171" s="204" t="s">
        <v>77</v>
      </c>
      <c r="I1171" s="204" t="s">
        <v>7415</v>
      </c>
    </row>
    <row r="1172" spans="1:9" x14ac:dyDescent="0.25">
      <c r="A1172" s="204" t="s">
        <v>1223</v>
      </c>
      <c r="B1172" s="9" t="str">
        <f t="shared" si="36"/>
        <v>24199100</v>
      </c>
      <c r="C1172" s="9" t="str">
        <f>VLOOKUP(B1172,COA!A:B,2,FALSE)</f>
        <v>Reg Liab-OCL taxable</v>
      </c>
      <c r="D1172" s="338" t="str">
        <f t="shared" si="37"/>
        <v>C241</v>
      </c>
      <c r="E1172" s="338" t="s">
        <v>6886</v>
      </c>
      <c r="G1172" s="338">
        <v>0</v>
      </c>
      <c r="H1172" s="204" t="s">
        <v>77</v>
      </c>
      <c r="I1172" s="204" t="s">
        <v>7415</v>
      </c>
    </row>
    <row r="1173" spans="1:9" x14ac:dyDescent="0.25">
      <c r="A1173" s="204" t="s">
        <v>1224</v>
      </c>
      <c r="B1173" s="9" t="str">
        <f t="shared" si="36"/>
        <v>24199200</v>
      </c>
      <c r="C1173" s="9" t="str">
        <f>VLOOKUP(B1173,COA!A:B,2,FALSE)</f>
        <v>Reg Liab-OCL non tax</v>
      </c>
      <c r="D1173" s="338" t="str">
        <f t="shared" si="37"/>
        <v>C241</v>
      </c>
      <c r="E1173" s="338" t="s">
        <v>6886</v>
      </c>
      <c r="G1173" s="338">
        <v>0</v>
      </c>
      <c r="H1173" s="204" t="s">
        <v>77</v>
      </c>
      <c r="I1173" s="204" t="s">
        <v>7415</v>
      </c>
    </row>
    <row r="1174" spans="1:9" x14ac:dyDescent="0.25">
      <c r="A1174" s="204" t="s">
        <v>1225</v>
      </c>
      <c r="B1174" s="9" t="str">
        <f t="shared" si="36"/>
        <v>24199500</v>
      </c>
      <c r="C1174" s="9" t="str">
        <f>VLOOKUP(B1174,COA!A:B,2,FALSE)</f>
        <v>Reg Liab-Tax Cuts &amp; Jobs Act Customer Refunds-Curr</v>
      </c>
      <c r="D1174" s="338" t="str">
        <f t="shared" si="37"/>
        <v>C2531</v>
      </c>
      <c r="E1174" s="338" t="s">
        <v>6886</v>
      </c>
      <c r="G1174" s="338">
        <v>0</v>
      </c>
      <c r="H1174" s="204" t="s">
        <v>77</v>
      </c>
      <c r="I1174" s="204" t="s">
        <v>7419</v>
      </c>
    </row>
    <row r="1175" spans="1:9" x14ac:dyDescent="0.25">
      <c r="A1175" s="204" t="s">
        <v>1226</v>
      </c>
      <c r="B1175" s="9" t="str">
        <f t="shared" si="36"/>
        <v>24199600</v>
      </c>
      <c r="C1175" s="9" t="str">
        <f>VLOOKUP(B1175,COA!A:B,2,FALSE)</f>
        <v>Liabilities Held For Sale</v>
      </c>
      <c r="D1175" s="338" t="str">
        <f t="shared" si="37"/>
        <v>C241</v>
      </c>
      <c r="E1175" s="338" t="s">
        <v>6886</v>
      </c>
      <c r="G1175" s="338">
        <v>0</v>
      </c>
      <c r="H1175" s="204" t="s">
        <v>77</v>
      </c>
      <c r="I1175" s="204" t="s">
        <v>7415</v>
      </c>
    </row>
    <row r="1176" spans="1:9" x14ac:dyDescent="0.25">
      <c r="A1176" s="204" t="s">
        <v>1227</v>
      </c>
      <c r="B1176" s="9" t="str">
        <f t="shared" si="36"/>
        <v>24199700</v>
      </c>
      <c r="C1176" s="9" t="str">
        <f>VLOOKUP(B1176,COA!A:B,2,FALSE)</f>
        <v>Deferred Revenue - Current Portion</v>
      </c>
      <c r="D1176" s="338" t="str">
        <f t="shared" si="37"/>
        <v>C241</v>
      </c>
      <c r="E1176" s="338" t="s">
        <v>6886</v>
      </c>
      <c r="G1176" s="338">
        <v>0</v>
      </c>
      <c r="H1176" s="204" t="s">
        <v>77</v>
      </c>
      <c r="I1176" s="204" t="s">
        <v>7415</v>
      </c>
    </row>
    <row r="1177" spans="1:9" x14ac:dyDescent="0.25">
      <c r="A1177" s="204" t="s">
        <v>1228</v>
      </c>
      <c r="B1177" s="9" t="str">
        <f t="shared" si="36"/>
        <v>24199701</v>
      </c>
      <c r="C1177" s="9" t="str">
        <f>VLOOKUP(B1177,COA!A:B,2,FALSE)</f>
        <v>Deferred Revenue - Current Portion - Intercompany</v>
      </c>
      <c r="D1177" s="338" t="str">
        <f t="shared" si="37"/>
        <v>C241</v>
      </c>
      <c r="E1177" s="338" t="s">
        <v>6886</v>
      </c>
      <c r="G1177" s="338">
        <v>0</v>
      </c>
      <c r="H1177" s="204" t="s">
        <v>77</v>
      </c>
      <c r="I1177" s="204" t="s">
        <v>7415</v>
      </c>
    </row>
    <row r="1178" spans="1:9" x14ac:dyDescent="0.25">
      <c r="A1178" s="204" t="s">
        <v>1229</v>
      </c>
      <c r="B1178" s="9" t="str">
        <f t="shared" si="36"/>
        <v>24199800</v>
      </c>
      <c r="C1178" s="9" t="str">
        <f>VLOOKUP(B1178,COA!A:B,2,FALSE)</f>
        <v>Other Current Liabilities - Tax Sensitive</v>
      </c>
      <c r="D1178" s="338" t="str">
        <f t="shared" si="37"/>
        <v>C241</v>
      </c>
      <c r="E1178" s="338" t="s">
        <v>6886</v>
      </c>
      <c r="G1178" s="338">
        <v>0</v>
      </c>
      <c r="H1178" s="204" t="s">
        <v>77</v>
      </c>
      <c r="I1178" s="204" t="s">
        <v>7415</v>
      </c>
    </row>
    <row r="1179" spans="1:9" x14ac:dyDescent="0.25">
      <c r="A1179" s="204" t="s">
        <v>1230</v>
      </c>
      <c r="B1179" s="9" t="str">
        <f t="shared" si="36"/>
        <v>24199900</v>
      </c>
      <c r="C1179" s="9" t="str">
        <f>VLOOKUP(B1179,COA!A:B,2,FALSE)</f>
        <v>Other Current Liabilities - Non-Tax Sensitive</v>
      </c>
      <c r="D1179" s="338" t="str">
        <f t="shared" si="37"/>
        <v>C241</v>
      </c>
      <c r="E1179" s="338" t="s">
        <v>6886</v>
      </c>
      <c r="G1179" s="338">
        <v>0</v>
      </c>
      <c r="H1179" s="204" t="s">
        <v>77</v>
      </c>
      <c r="I1179" s="204" t="s">
        <v>7415</v>
      </c>
    </row>
    <row r="1180" spans="1:9" x14ac:dyDescent="0.25">
      <c r="A1180" s="204" t="s">
        <v>1231</v>
      </c>
      <c r="B1180" s="9" t="str">
        <f t="shared" si="36"/>
        <v>25211000</v>
      </c>
      <c r="C1180" s="9" t="str">
        <f>VLOOKUP(B1180,COA!A:B,2,FALSE)</f>
        <v>Advances for Construction - NT Mains</v>
      </c>
      <c r="D1180" s="338" t="str">
        <f t="shared" si="37"/>
        <v>C252</v>
      </c>
      <c r="E1180" s="338" t="s">
        <v>6886</v>
      </c>
      <c r="G1180" s="338">
        <v>0</v>
      </c>
      <c r="H1180" s="204" t="s">
        <v>77</v>
      </c>
      <c r="I1180" s="204" t="s">
        <v>7420</v>
      </c>
    </row>
    <row r="1181" spans="1:9" x14ac:dyDescent="0.25">
      <c r="A1181" s="204" t="s">
        <v>1232</v>
      </c>
      <c r="B1181" s="9" t="str">
        <f t="shared" si="36"/>
        <v>25212000</v>
      </c>
      <c r="C1181" s="9" t="str">
        <f>VLOOKUP(B1181,COA!A:B,2,FALSE)</f>
        <v>Advances for Construction - NT Extension Deposits</v>
      </c>
      <c r="D1181" s="338" t="str">
        <f t="shared" si="37"/>
        <v>C252</v>
      </c>
      <c r="E1181" s="338" t="s">
        <v>6886</v>
      </c>
      <c r="G1181" s="338">
        <v>0</v>
      </c>
      <c r="H1181" s="204" t="s">
        <v>77</v>
      </c>
      <c r="I1181" s="204" t="s">
        <v>7420</v>
      </c>
    </row>
    <row r="1182" spans="1:9" x14ac:dyDescent="0.25">
      <c r="A1182" s="204" t="s">
        <v>1233</v>
      </c>
      <c r="B1182" s="9" t="str">
        <f t="shared" si="36"/>
        <v>25213000</v>
      </c>
      <c r="C1182" s="9" t="str">
        <f>VLOOKUP(B1182,COA!A:B,2,FALSE)</f>
        <v>Advances for Construction - NT Services</v>
      </c>
      <c r="D1182" s="338" t="str">
        <f t="shared" si="37"/>
        <v>C252</v>
      </c>
      <c r="E1182" s="338" t="s">
        <v>6886</v>
      </c>
      <c r="G1182" s="338">
        <v>0</v>
      </c>
      <c r="H1182" s="204" t="s">
        <v>77</v>
      </c>
      <c r="I1182" s="204" t="s">
        <v>7420</v>
      </c>
    </row>
    <row r="1183" spans="1:9" x14ac:dyDescent="0.25">
      <c r="A1183" s="204" t="s">
        <v>1234</v>
      </c>
      <c r="B1183" s="9" t="str">
        <f t="shared" si="36"/>
        <v>25214000</v>
      </c>
      <c r="C1183" s="9" t="str">
        <f>VLOOKUP(B1183,COA!A:B,2,FALSE)</f>
        <v>Advances for Construction - NT Meters</v>
      </c>
      <c r="D1183" s="338" t="str">
        <f t="shared" si="37"/>
        <v>C252</v>
      </c>
      <c r="E1183" s="338" t="s">
        <v>6886</v>
      </c>
      <c r="G1183" s="338">
        <v>0</v>
      </c>
      <c r="H1183" s="204" t="s">
        <v>77</v>
      </c>
      <c r="I1183" s="204" t="s">
        <v>7420</v>
      </c>
    </row>
    <row r="1184" spans="1:9" x14ac:dyDescent="0.25">
      <c r="A1184" s="204" t="s">
        <v>1235</v>
      </c>
      <c r="B1184" s="9" t="str">
        <f t="shared" si="36"/>
        <v>25215000</v>
      </c>
      <c r="C1184" s="9" t="str">
        <f>VLOOKUP(B1184,COA!A:B,2,FALSE)</f>
        <v>Advances for Construction - NT Hydrants</v>
      </c>
      <c r="D1184" s="338" t="str">
        <f t="shared" si="37"/>
        <v>C252</v>
      </c>
      <c r="E1184" s="338" t="s">
        <v>6886</v>
      </c>
      <c r="G1184" s="338">
        <v>0</v>
      </c>
      <c r="H1184" s="204" t="s">
        <v>77</v>
      </c>
      <c r="I1184" s="204" t="s">
        <v>7420</v>
      </c>
    </row>
    <row r="1185" spans="1:9" x14ac:dyDescent="0.25">
      <c r="A1185" s="204" t="s">
        <v>1236</v>
      </c>
      <c r="B1185" s="9" t="str">
        <f t="shared" si="36"/>
        <v>25216000</v>
      </c>
      <c r="C1185" s="9" t="str">
        <f>VLOOKUP(B1185,COA!A:B,2,FALSE)</f>
        <v>Advances for Construction - NT Other</v>
      </c>
      <c r="D1185" s="338" t="str">
        <f t="shared" si="37"/>
        <v>C252</v>
      </c>
      <c r="E1185" s="338" t="s">
        <v>6886</v>
      </c>
      <c r="G1185" s="338">
        <v>0</v>
      </c>
      <c r="H1185" s="204" t="s">
        <v>77</v>
      </c>
      <c r="I1185" s="204" t="s">
        <v>7420</v>
      </c>
    </row>
    <row r="1186" spans="1:9" x14ac:dyDescent="0.25">
      <c r="A1186" s="204" t="s">
        <v>1237</v>
      </c>
      <c r="B1186" s="9" t="str">
        <f t="shared" si="36"/>
        <v>25217000</v>
      </c>
      <c r="C1186" s="9" t="str">
        <f>VLOOKUP(B1186,COA!A:B,2,FALSE)</f>
        <v>Advances for Construction - NT WIP</v>
      </c>
      <c r="D1186" s="338" t="str">
        <f t="shared" si="37"/>
        <v>C252</v>
      </c>
      <c r="E1186" s="338" t="s">
        <v>6886</v>
      </c>
      <c r="G1186" s="338">
        <v>0</v>
      </c>
      <c r="H1186" s="204" t="s">
        <v>77</v>
      </c>
      <c r="I1186" s="204" t="s">
        <v>7420</v>
      </c>
    </row>
    <row r="1187" spans="1:9" x14ac:dyDescent="0.25">
      <c r="A1187" s="204" t="s">
        <v>1238</v>
      </c>
      <c r="B1187" s="9" t="str">
        <f t="shared" si="36"/>
        <v>25221000</v>
      </c>
      <c r="C1187" s="9" t="str">
        <f>VLOOKUP(B1187,COA!A:B,2,FALSE)</f>
        <v>Advances for Construction - Tax Mains</v>
      </c>
      <c r="D1187" s="338" t="str">
        <f t="shared" si="37"/>
        <v>C252</v>
      </c>
      <c r="E1187" s="338" t="s">
        <v>6886</v>
      </c>
      <c r="G1187" s="338">
        <v>0</v>
      </c>
      <c r="H1187" s="204" t="s">
        <v>77</v>
      </c>
      <c r="I1187" s="204" t="s">
        <v>7420</v>
      </c>
    </row>
    <row r="1188" spans="1:9" x14ac:dyDescent="0.25">
      <c r="A1188" s="204" t="s">
        <v>1239</v>
      </c>
      <c r="B1188" s="9" t="str">
        <f t="shared" si="36"/>
        <v>25222000</v>
      </c>
      <c r="C1188" s="9" t="str">
        <f>VLOOKUP(B1188,COA!A:B,2,FALSE)</f>
        <v>Advances for Construction - Tax Extension Deposits</v>
      </c>
      <c r="D1188" s="338" t="str">
        <f t="shared" si="37"/>
        <v>C252</v>
      </c>
      <c r="E1188" s="338" t="s">
        <v>6886</v>
      </c>
      <c r="G1188" s="338">
        <v>0</v>
      </c>
      <c r="H1188" s="204" t="s">
        <v>77</v>
      </c>
      <c r="I1188" s="204" t="s">
        <v>7420</v>
      </c>
    </row>
    <row r="1189" spans="1:9" x14ac:dyDescent="0.25">
      <c r="A1189" s="204" t="s">
        <v>1240</v>
      </c>
      <c r="B1189" s="9" t="str">
        <f t="shared" si="36"/>
        <v>25223000</v>
      </c>
      <c r="C1189" s="9" t="str">
        <f>VLOOKUP(B1189,COA!A:B,2,FALSE)</f>
        <v>Advances for Construction - Tax Services</v>
      </c>
      <c r="D1189" s="338" t="str">
        <f t="shared" si="37"/>
        <v>C252</v>
      </c>
      <c r="E1189" s="338" t="s">
        <v>6886</v>
      </c>
      <c r="G1189" s="338">
        <v>0</v>
      </c>
      <c r="H1189" s="204" t="s">
        <v>77</v>
      </c>
      <c r="I1189" s="204" t="s">
        <v>7420</v>
      </c>
    </row>
    <row r="1190" spans="1:9" x14ac:dyDescent="0.25">
      <c r="A1190" s="204" t="s">
        <v>1241</v>
      </c>
      <c r="B1190" s="9" t="str">
        <f t="shared" si="36"/>
        <v>25224000</v>
      </c>
      <c r="C1190" s="9" t="str">
        <f>VLOOKUP(B1190,COA!A:B,2,FALSE)</f>
        <v>Advances for Construction - Tax Meters</v>
      </c>
      <c r="D1190" s="338" t="str">
        <f t="shared" si="37"/>
        <v>C252</v>
      </c>
      <c r="E1190" s="338" t="s">
        <v>6886</v>
      </c>
      <c r="G1190" s="338">
        <v>0</v>
      </c>
      <c r="H1190" s="204" t="s">
        <v>77</v>
      </c>
      <c r="I1190" s="204" t="s">
        <v>7420</v>
      </c>
    </row>
    <row r="1191" spans="1:9" x14ac:dyDescent="0.25">
      <c r="A1191" s="204" t="s">
        <v>1242</v>
      </c>
      <c r="B1191" s="9" t="str">
        <f t="shared" si="36"/>
        <v>25225000</v>
      </c>
      <c r="C1191" s="9" t="str">
        <f>VLOOKUP(B1191,COA!A:B,2,FALSE)</f>
        <v>Advances for Construction - Tax Hydrants</v>
      </c>
      <c r="D1191" s="338" t="str">
        <f t="shared" si="37"/>
        <v>C252</v>
      </c>
      <c r="E1191" s="338" t="s">
        <v>6886</v>
      </c>
      <c r="G1191" s="338">
        <v>0</v>
      </c>
      <c r="H1191" s="204" t="s">
        <v>77</v>
      </c>
      <c r="I1191" s="204" t="s">
        <v>7420</v>
      </c>
    </row>
    <row r="1192" spans="1:9" x14ac:dyDescent="0.25">
      <c r="A1192" s="204" t="s">
        <v>1243</v>
      </c>
      <c r="B1192" s="9" t="str">
        <f t="shared" si="36"/>
        <v>25226000</v>
      </c>
      <c r="C1192" s="9" t="str">
        <f>VLOOKUP(B1192,COA!A:B,2,FALSE)</f>
        <v>Advances for Construction - Tax Other</v>
      </c>
      <c r="D1192" s="338" t="str">
        <f t="shared" si="37"/>
        <v>C252</v>
      </c>
      <c r="E1192" s="338" t="s">
        <v>6886</v>
      </c>
      <c r="G1192" s="338">
        <v>0</v>
      </c>
      <c r="H1192" s="204" t="s">
        <v>77</v>
      </c>
      <c r="I1192" s="204" t="s">
        <v>7420</v>
      </c>
    </row>
    <row r="1193" spans="1:9" x14ac:dyDescent="0.25">
      <c r="A1193" s="204" t="s">
        <v>1244</v>
      </c>
      <c r="B1193" s="9" t="str">
        <f t="shared" si="36"/>
        <v>25227000</v>
      </c>
      <c r="C1193" s="9" t="str">
        <f>VLOOKUP(B1193,COA!A:B,2,FALSE)</f>
        <v>Advances for Construction - Tax WIP</v>
      </c>
      <c r="D1193" s="338" t="str">
        <f t="shared" si="37"/>
        <v>C252</v>
      </c>
      <c r="E1193" s="338" t="s">
        <v>6886</v>
      </c>
      <c r="G1193" s="338">
        <v>0</v>
      </c>
      <c r="H1193" s="204" t="s">
        <v>77</v>
      </c>
      <c r="I1193" s="204" t="s">
        <v>7420</v>
      </c>
    </row>
    <row r="1194" spans="1:9" x14ac:dyDescent="0.25">
      <c r="A1194" s="204" t="s">
        <v>1245</v>
      </c>
      <c r="B1194" s="9" t="str">
        <f t="shared" si="36"/>
        <v>25230000</v>
      </c>
      <c r="C1194" s="9" t="str">
        <f>VLOOKUP(B1194,COA!A:B,2,FALSE)</f>
        <v>Advances for Construction - Tax SIT</v>
      </c>
      <c r="D1194" s="338" t="str">
        <f t="shared" si="37"/>
        <v>C252</v>
      </c>
      <c r="E1194" s="338" t="s">
        <v>6886</v>
      </c>
      <c r="G1194" s="338">
        <v>0</v>
      </c>
      <c r="H1194" s="204" t="s">
        <v>77</v>
      </c>
      <c r="I1194" s="204" t="s">
        <v>7420</v>
      </c>
    </row>
    <row r="1195" spans="1:9" x14ac:dyDescent="0.25">
      <c r="A1195" s="204" t="s">
        <v>1246</v>
      </c>
      <c r="B1195" s="9" t="str">
        <f t="shared" si="36"/>
        <v>25241000</v>
      </c>
      <c r="C1195" s="9" t="str">
        <f>VLOOKUP(B1195,COA!A:B,2,FALSE)</f>
        <v>Advances for Construction - Tax Mains - FIT</v>
      </c>
      <c r="D1195" s="338" t="str">
        <f t="shared" si="37"/>
        <v>C252</v>
      </c>
      <c r="E1195" s="338" t="s">
        <v>6886</v>
      </c>
      <c r="G1195" s="338">
        <v>0</v>
      </c>
      <c r="H1195" s="204" t="s">
        <v>77</v>
      </c>
      <c r="I1195" s="204" t="s">
        <v>7420</v>
      </c>
    </row>
    <row r="1196" spans="1:9" x14ac:dyDescent="0.25">
      <c r="A1196" s="204" t="s">
        <v>1247</v>
      </c>
      <c r="B1196" s="9" t="str">
        <f t="shared" si="36"/>
        <v>25242000</v>
      </c>
      <c r="C1196" s="9" t="str">
        <f>VLOOKUP(B1196,COA!A:B,2,FALSE)</f>
        <v>Advances for Construction - Tax Extension Dep -FIT</v>
      </c>
      <c r="D1196" s="338" t="str">
        <f t="shared" si="37"/>
        <v>C252</v>
      </c>
      <c r="E1196" s="338" t="s">
        <v>6886</v>
      </c>
      <c r="G1196" s="338">
        <v>0</v>
      </c>
      <c r="H1196" s="204" t="s">
        <v>77</v>
      </c>
      <c r="I1196" s="204" t="s">
        <v>7420</v>
      </c>
    </row>
    <row r="1197" spans="1:9" x14ac:dyDescent="0.25">
      <c r="A1197" s="204" t="s">
        <v>1248</v>
      </c>
      <c r="B1197" s="9" t="str">
        <f t="shared" si="36"/>
        <v>25243000</v>
      </c>
      <c r="C1197" s="9" t="str">
        <f>VLOOKUP(B1197,COA!A:B,2,FALSE)</f>
        <v>Advances for Construction - Tax Services - FIT</v>
      </c>
      <c r="D1197" s="338" t="str">
        <f t="shared" si="37"/>
        <v>C252</v>
      </c>
      <c r="E1197" s="338" t="s">
        <v>6886</v>
      </c>
      <c r="G1197" s="338">
        <v>0</v>
      </c>
      <c r="H1197" s="204" t="s">
        <v>77</v>
      </c>
      <c r="I1197" s="204" t="s">
        <v>7420</v>
      </c>
    </row>
    <row r="1198" spans="1:9" x14ac:dyDescent="0.25">
      <c r="A1198" s="204" t="s">
        <v>1249</v>
      </c>
      <c r="B1198" s="9" t="str">
        <f t="shared" si="36"/>
        <v>25244000</v>
      </c>
      <c r="C1198" s="9" t="str">
        <f>VLOOKUP(B1198,COA!A:B,2,FALSE)</f>
        <v>Advances for Construction - Tax Meters - FIT</v>
      </c>
      <c r="D1198" s="338" t="str">
        <f t="shared" si="37"/>
        <v>C252</v>
      </c>
      <c r="E1198" s="338" t="s">
        <v>6886</v>
      </c>
      <c r="G1198" s="338">
        <v>0</v>
      </c>
      <c r="H1198" s="204" t="s">
        <v>77</v>
      </c>
      <c r="I1198" s="204" t="s">
        <v>7420</v>
      </c>
    </row>
    <row r="1199" spans="1:9" x14ac:dyDescent="0.25">
      <c r="A1199" s="204" t="s">
        <v>1250</v>
      </c>
      <c r="B1199" s="9" t="str">
        <f t="shared" si="36"/>
        <v>25245000</v>
      </c>
      <c r="C1199" s="9" t="str">
        <f>VLOOKUP(B1199,COA!A:B,2,FALSE)</f>
        <v>Advances for Construction - Tax Hydrants - FIT</v>
      </c>
      <c r="D1199" s="338" t="str">
        <f t="shared" si="37"/>
        <v>C252</v>
      </c>
      <c r="E1199" s="338" t="s">
        <v>6886</v>
      </c>
      <c r="G1199" s="338">
        <v>0</v>
      </c>
      <c r="H1199" s="204" t="s">
        <v>77</v>
      </c>
      <c r="I1199" s="204" t="s">
        <v>7420</v>
      </c>
    </row>
    <row r="1200" spans="1:9" x14ac:dyDescent="0.25">
      <c r="A1200" s="204" t="s">
        <v>1251</v>
      </c>
      <c r="B1200" s="9" t="str">
        <f t="shared" si="36"/>
        <v>25246000</v>
      </c>
      <c r="C1200" s="9" t="str">
        <f>VLOOKUP(B1200,COA!A:B,2,FALSE)</f>
        <v>Advances for Construction - Tax Other - FIT</v>
      </c>
      <c r="D1200" s="338" t="str">
        <f t="shared" si="37"/>
        <v>C252</v>
      </c>
      <c r="E1200" s="338" t="s">
        <v>6886</v>
      </c>
      <c r="G1200" s="338">
        <v>0</v>
      </c>
      <c r="H1200" s="204" t="s">
        <v>77</v>
      </c>
      <c r="I1200" s="204" t="s">
        <v>7420</v>
      </c>
    </row>
    <row r="1201" spans="1:9" x14ac:dyDescent="0.25">
      <c r="A1201" s="204" t="s">
        <v>1252</v>
      </c>
      <c r="B1201" s="9" t="str">
        <f t="shared" si="36"/>
        <v>25280000</v>
      </c>
      <c r="C1201" s="9" t="str">
        <f>VLOOKUP(B1201,COA!A:B,2,FALSE)</f>
        <v>Advances for Construction - Reclassed to Current</v>
      </c>
      <c r="D1201" s="338" t="str">
        <f t="shared" si="37"/>
        <v>C252</v>
      </c>
      <c r="E1201" s="338" t="s">
        <v>6886</v>
      </c>
      <c r="G1201" s="338">
        <v>0</v>
      </c>
      <c r="H1201" s="204" t="s">
        <v>77</v>
      </c>
      <c r="I1201" s="204" t="s">
        <v>7420</v>
      </c>
    </row>
    <row r="1202" spans="1:9" x14ac:dyDescent="0.25">
      <c r="A1202" s="204" t="s">
        <v>1253</v>
      </c>
      <c r="B1202" s="9" t="str">
        <f t="shared" si="36"/>
        <v>25299900</v>
      </c>
      <c r="C1202" s="9" t="str">
        <f>VLOOKUP(B1202,COA!A:B,2,FALSE)</f>
        <v>Advances for Construction - Current</v>
      </c>
      <c r="D1202" s="338" t="str">
        <f t="shared" si="37"/>
        <v>C252</v>
      </c>
      <c r="E1202" s="338" t="s">
        <v>6886</v>
      </c>
      <c r="G1202" s="338">
        <v>0</v>
      </c>
      <c r="H1202" s="204" t="s">
        <v>77</v>
      </c>
      <c r="I1202" s="204" t="s">
        <v>7420</v>
      </c>
    </row>
    <row r="1203" spans="1:9" x14ac:dyDescent="0.25">
      <c r="A1203" s="204" t="s">
        <v>1254</v>
      </c>
      <c r="B1203" s="9" t="str">
        <f t="shared" si="36"/>
        <v>25310000</v>
      </c>
      <c r="C1203" s="9" t="str">
        <f>VLOOKUP(B1203,COA!A:B,2,FALSE)</f>
        <v>Deferred FIT Liability - Normalized Property</v>
      </c>
      <c r="D1203" s="338" t="str">
        <f t="shared" si="37"/>
        <v>C283</v>
      </c>
      <c r="E1203" s="338" t="s">
        <v>6886</v>
      </c>
      <c r="G1203" s="338">
        <v>0</v>
      </c>
      <c r="H1203" s="204" t="s">
        <v>77</v>
      </c>
      <c r="I1203" s="204" t="s">
        <v>7421</v>
      </c>
    </row>
    <row r="1204" spans="1:9" x14ac:dyDescent="0.25">
      <c r="A1204" s="204" t="s">
        <v>1255</v>
      </c>
      <c r="B1204" s="9" t="str">
        <f t="shared" si="36"/>
        <v>25311000</v>
      </c>
      <c r="C1204" s="9" t="str">
        <f>VLOOKUP(B1204,COA!A:B,2,FALSE)</f>
        <v>Deferred FIT Liability - Other</v>
      </c>
      <c r="D1204" s="338" t="str">
        <f t="shared" si="37"/>
        <v>C283</v>
      </c>
      <c r="E1204" s="338" t="s">
        <v>6886</v>
      </c>
      <c r="G1204" s="338">
        <v>0</v>
      </c>
      <c r="H1204" s="204" t="s">
        <v>77</v>
      </c>
      <c r="I1204" s="204" t="s">
        <v>7421</v>
      </c>
    </row>
    <row r="1205" spans="1:9" x14ac:dyDescent="0.25">
      <c r="A1205" s="204" t="s">
        <v>1256</v>
      </c>
      <c r="B1205" s="9" t="str">
        <f t="shared" si="36"/>
        <v>25311500</v>
      </c>
      <c r="C1205" s="9" t="str">
        <f>VLOOKUP(B1205,COA!A:B,2,FALSE)</f>
        <v>Deferred FIT Liability - Unitary Returns</v>
      </c>
      <c r="D1205" s="338" t="str">
        <f t="shared" si="37"/>
        <v>C283</v>
      </c>
      <c r="E1205" s="338" t="s">
        <v>6886</v>
      </c>
      <c r="G1205" s="338">
        <v>0</v>
      </c>
      <c r="H1205" s="204" t="s">
        <v>77</v>
      </c>
      <c r="I1205" s="204" t="s">
        <v>7421</v>
      </c>
    </row>
    <row r="1206" spans="1:9" x14ac:dyDescent="0.25">
      <c r="A1206" s="204" t="s">
        <v>1257</v>
      </c>
      <c r="B1206" s="9" t="str">
        <f t="shared" si="36"/>
        <v>25319000</v>
      </c>
      <c r="C1206" s="9" t="str">
        <f>VLOOKUP(B1206,COA!A:B,2,FALSE)</f>
        <v>Deferred FIT Asset - Long Term</v>
      </c>
      <c r="D1206" s="338" t="str">
        <f t="shared" si="37"/>
        <v>C1901</v>
      </c>
      <c r="E1206" s="338" t="s">
        <v>6886</v>
      </c>
      <c r="G1206" s="338">
        <v>0</v>
      </c>
      <c r="H1206" s="204" t="s">
        <v>77</v>
      </c>
      <c r="I1206" s="204" t="s">
        <v>7422</v>
      </c>
    </row>
    <row r="1207" spans="1:9" x14ac:dyDescent="0.25">
      <c r="A1207" s="204" t="s">
        <v>1258</v>
      </c>
      <c r="B1207" s="9" t="str">
        <f t="shared" si="36"/>
        <v>25321000</v>
      </c>
      <c r="C1207" s="9" t="str">
        <f>VLOOKUP(B1207,COA!A:B,2,FALSE)</f>
        <v>Deferred SIT Liability - Other</v>
      </c>
      <c r="D1207" s="338" t="str">
        <f t="shared" si="37"/>
        <v>C283</v>
      </c>
      <c r="E1207" s="338" t="s">
        <v>6886</v>
      </c>
      <c r="G1207" s="338">
        <v>0</v>
      </c>
      <c r="H1207" s="204" t="s">
        <v>77</v>
      </c>
      <c r="I1207" s="204" t="s">
        <v>7421</v>
      </c>
    </row>
    <row r="1208" spans="1:9" x14ac:dyDescent="0.25">
      <c r="A1208" s="204" t="s">
        <v>1259</v>
      </c>
      <c r="B1208" s="9" t="str">
        <f t="shared" si="36"/>
        <v>25321500</v>
      </c>
      <c r="C1208" s="9" t="str">
        <f>VLOOKUP(B1208,COA!A:B,2,FALSE)</f>
        <v>Deferred SIT Liability - Unitary Returns</v>
      </c>
      <c r="D1208" s="338" t="str">
        <f t="shared" si="37"/>
        <v>C283</v>
      </c>
      <c r="E1208" s="338" t="s">
        <v>6886</v>
      </c>
      <c r="G1208" s="338">
        <v>0</v>
      </c>
      <c r="H1208" s="204" t="s">
        <v>77</v>
      </c>
      <c r="I1208" s="204" t="s">
        <v>7421</v>
      </c>
    </row>
    <row r="1209" spans="1:9" x14ac:dyDescent="0.25">
      <c r="A1209" s="204" t="s">
        <v>1260</v>
      </c>
      <c r="B1209" s="9" t="str">
        <f t="shared" si="36"/>
        <v>25329000</v>
      </c>
      <c r="C1209" s="9" t="str">
        <f>VLOOKUP(B1209,COA!A:B,2,FALSE)</f>
        <v>Deferred SIT Asset - Long Term</v>
      </c>
      <c r="D1209" s="338" t="str">
        <f t="shared" si="37"/>
        <v>C1902</v>
      </c>
      <c r="E1209" s="338" t="s">
        <v>6886</v>
      </c>
      <c r="G1209" s="338">
        <v>0</v>
      </c>
      <c r="H1209" s="204" t="s">
        <v>77</v>
      </c>
      <c r="I1209" s="204" t="s">
        <v>7423</v>
      </c>
    </row>
    <row r="1210" spans="1:9" x14ac:dyDescent="0.25">
      <c r="A1210" s="204" t="s">
        <v>1261</v>
      </c>
      <c r="B1210" s="9" t="str">
        <f t="shared" si="36"/>
        <v>25340000</v>
      </c>
      <c r="C1210" s="9" t="str">
        <f>VLOOKUP(B1210,COA!A:B,2,FALSE)</f>
        <v>Deferred FIT Liability - Current</v>
      </c>
      <c r="D1210" s="338" t="str">
        <f t="shared" si="37"/>
        <v>C23612</v>
      </c>
      <c r="E1210" s="338" t="s">
        <v>6886</v>
      </c>
      <c r="G1210" s="338">
        <v>0</v>
      </c>
      <c r="H1210" s="204" t="s">
        <v>77</v>
      </c>
      <c r="I1210" s="204" t="s">
        <v>7412</v>
      </c>
    </row>
    <row r="1211" spans="1:9" x14ac:dyDescent="0.25">
      <c r="A1211" s="204" t="s">
        <v>1262</v>
      </c>
      <c r="B1211" s="9" t="str">
        <f t="shared" si="36"/>
        <v>25349000</v>
      </c>
      <c r="C1211" s="9" t="str">
        <f>VLOOKUP(B1211,COA!A:B,2,FALSE)</f>
        <v>Deferred FIT Asset - Current</v>
      </c>
      <c r="D1211" s="338" t="str">
        <f t="shared" si="37"/>
        <v>C174</v>
      </c>
      <c r="E1211" s="338" t="s">
        <v>6886</v>
      </c>
      <c r="G1211" s="338">
        <v>0</v>
      </c>
      <c r="H1211" s="204" t="s">
        <v>77</v>
      </c>
      <c r="I1211" s="204" t="s">
        <v>7391</v>
      </c>
    </row>
    <row r="1212" spans="1:9" x14ac:dyDescent="0.25">
      <c r="A1212" s="204" t="s">
        <v>1263</v>
      </c>
      <c r="B1212" s="9" t="str">
        <f t="shared" si="36"/>
        <v>25350000</v>
      </c>
      <c r="C1212" s="9" t="str">
        <f>VLOOKUP(B1212,COA!A:B,2,FALSE)</f>
        <v>Deferred SIT Liability - Current</v>
      </c>
      <c r="D1212" s="338" t="str">
        <f t="shared" si="37"/>
        <v>C23612</v>
      </c>
      <c r="E1212" s="338" t="s">
        <v>6886</v>
      </c>
      <c r="G1212" s="338">
        <v>0</v>
      </c>
      <c r="H1212" s="204" t="s">
        <v>77</v>
      </c>
      <c r="I1212" s="204" t="s">
        <v>7412</v>
      </c>
    </row>
    <row r="1213" spans="1:9" x14ac:dyDescent="0.25">
      <c r="A1213" s="204" t="s">
        <v>1264</v>
      </c>
      <c r="B1213" s="9" t="str">
        <f t="shared" si="36"/>
        <v>25359000</v>
      </c>
      <c r="C1213" s="9" t="str">
        <f>VLOOKUP(B1213,COA!A:B,2,FALSE)</f>
        <v>Deferred SIT Asset - Current</v>
      </c>
      <c r="D1213" s="338" t="str">
        <f t="shared" si="37"/>
        <v>C174</v>
      </c>
      <c r="E1213" s="338" t="s">
        <v>6886</v>
      </c>
      <c r="G1213" s="338">
        <v>0</v>
      </c>
      <c r="H1213" s="204" t="s">
        <v>77</v>
      </c>
      <c r="I1213" s="204" t="s">
        <v>7391</v>
      </c>
    </row>
    <row r="1214" spans="1:9" x14ac:dyDescent="0.25">
      <c r="A1214" s="204" t="s">
        <v>1265</v>
      </c>
      <c r="B1214" s="9" t="str">
        <f t="shared" si="36"/>
        <v>25510100</v>
      </c>
      <c r="C1214" s="9" t="str">
        <f>VLOOKUP(B1214,COA!A:B,2,FALSE)</f>
        <v>Unamortized ITC - 3%</v>
      </c>
      <c r="D1214" s="338" t="str">
        <f t="shared" si="37"/>
        <v>C2551</v>
      </c>
      <c r="E1214" s="338" t="s">
        <v>6886</v>
      </c>
      <c r="G1214" s="338">
        <v>0</v>
      </c>
      <c r="H1214" s="204" t="s">
        <v>77</v>
      </c>
      <c r="I1214" s="204" t="s">
        <v>7424</v>
      </c>
    </row>
    <row r="1215" spans="1:9" x14ac:dyDescent="0.25">
      <c r="A1215" s="204" t="s">
        <v>1266</v>
      </c>
      <c r="B1215" s="9" t="str">
        <f t="shared" si="36"/>
        <v>25510200</v>
      </c>
      <c r="C1215" s="9" t="str">
        <f>VLOOKUP(B1215,COA!A:B,2,FALSE)</f>
        <v>Unamortized ITC - 4%</v>
      </c>
      <c r="D1215" s="338" t="str">
        <f t="shared" si="37"/>
        <v>C2551</v>
      </c>
      <c r="E1215" s="338" t="s">
        <v>6886</v>
      </c>
      <c r="G1215" s="338">
        <v>0</v>
      </c>
      <c r="H1215" s="204" t="s">
        <v>77</v>
      </c>
      <c r="I1215" s="204" t="s">
        <v>7424</v>
      </c>
    </row>
    <row r="1216" spans="1:9" x14ac:dyDescent="0.25">
      <c r="A1216" s="204" t="s">
        <v>1267</v>
      </c>
      <c r="B1216" s="9" t="str">
        <f t="shared" ref="B1216:B1278" si="38">RIGHT(A1216,8)</f>
        <v>25510300</v>
      </c>
      <c r="C1216" s="9" t="str">
        <f>VLOOKUP(B1216,COA!A:B,2,FALSE)</f>
        <v>Unamortized ITC - 10%</v>
      </c>
      <c r="D1216" s="338" t="str">
        <f t="shared" si="37"/>
        <v>C2551</v>
      </c>
      <c r="E1216" s="338" t="s">
        <v>6886</v>
      </c>
      <c r="G1216" s="338">
        <v>0</v>
      </c>
      <c r="H1216" s="204" t="s">
        <v>77</v>
      </c>
      <c r="I1216" s="204" t="s">
        <v>7424</v>
      </c>
    </row>
    <row r="1217" spans="1:9" x14ac:dyDescent="0.25">
      <c r="A1217" s="204" t="s">
        <v>1268</v>
      </c>
      <c r="B1217" s="9" t="str">
        <f t="shared" si="38"/>
        <v>25510400</v>
      </c>
      <c r="C1217" s="9" t="str">
        <f>VLOOKUP(B1217,COA!A:B,2,FALSE)</f>
        <v>Unamortized ITC - 6%</v>
      </c>
      <c r="D1217" s="338" t="str">
        <f t="shared" si="37"/>
        <v>C2551</v>
      </c>
      <c r="E1217" s="338" t="s">
        <v>6886</v>
      </c>
      <c r="G1217" s="338">
        <v>0</v>
      </c>
      <c r="H1217" s="204" t="s">
        <v>77</v>
      </c>
      <c r="I1217" s="204" t="s">
        <v>7424</v>
      </c>
    </row>
    <row r="1218" spans="1:9" x14ac:dyDescent="0.25">
      <c r="A1218" s="204" t="s">
        <v>1269</v>
      </c>
      <c r="B1218" s="9" t="str">
        <f t="shared" si="38"/>
        <v>25510500</v>
      </c>
      <c r="C1218" s="9" t="str">
        <f>VLOOKUP(B1218,COA!A:B,2,FALSE)</f>
        <v>Unamortized ITC - State</v>
      </c>
      <c r="D1218" s="338" t="str">
        <f t="shared" si="37"/>
        <v>C2551</v>
      </c>
      <c r="E1218" s="338" t="s">
        <v>6886</v>
      </c>
      <c r="G1218" s="338">
        <v>0</v>
      </c>
      <c r="H1218" s="204" t="s">
        <v>77</v>
      </c>
      <c r="I1218" s="204" t="s">
        <v>7424</v>
      </c>
    </row>
    <row r="1219" spans="1:9" x14ac:dyDescent="0.25">
      <c r="A1219" s="204" t="s">
        <v>1270</v>
      </c>
      <c r="B1219" s="9" t="str">
        <f t="shared" si="38"/>
        <v>25621000</v>
      </c>
      <c r="C1219" s="9" t="str">
        <f>VLOOKUP(B1219,COA!A:B,2,FALSE)</f>
        <v>Reg Liab-Inc Tax Rec Thru Rates-Exc Def FIT</v>
      </c>
      <c r="D1219" s="338" t="str">
        <f t="shared" si="37"/>
        <v>C2531</v>
      </c>
      <c r="E1219" s="338" t="s">
        <v>6886</v>
      </c>
      <c r="G1219" s="338">
        <v>0</v>
      </c>
      <c r="H1219" s="204" t="s">
        <v>77</v>
      </c>
      <c r="I1219" s="204" t="s">
        <v>7419</v>
      </c>
    </row>
    <row r="1220" spans="1:9" x14ac:dyDescent="0.25">
      <c r="A1220" s="204" t="s">
        <v>1271</v>
      </c>
      <c r="B1220" s="9" t="str">
        <f t="shared" si="38"/>
        <v>25621100</v>
      </c>
      <c r="C1220" s="9" t="str">
        <f>VLOOKUP(B1220,COA!A:B,2,FALSE)</f>
        <v>Reg Liab-Inc Tax Rec Thru Rates-Exc Def AFUDC FIT</v>
      </c>
      <c r="D1220" s="338" t="str">
        <f t="shared" si="37"/>
        <v>C2531</v>
      </c>
      <c r="E1220" s="338" t="s">
        <v>6886</v>
      </c>
      <c r="G1220" s="338">
        <v>0</v>
      </c>
      <c r="H1220" s="204" t="s">
        <v>77</v>
      </c>
      <c r="I1220" s="204" t="s">
        <v>7419</v>
      </c>
    </row>
    <row r="1221" spans="1:9" x14ac:dyDescent="0.25">
      <c r="A1221" s="204" t="s">
        <v>1272</v>
      </c>
      <c r="B1221" s="9" t="str">
        <f t="shared" si="38"/>
        <v>25621200</v>
      </c>
      <c r="C1221" s="9" t="str">
        <f>VLOOKUP(B1221,COA!A:B,2,FALSE)</f>
        <v>Reg Liab-Inc Tax Rec Thru Rates-Exc Def Depr FIT</v>
      </c>
      <c r="D1221" s="338" t="str">
        <f t="shared" si="37"/>
        <v>C2531</v>
      </c>
      <c r="E1221" s="338" t="s">
        <v>6886</v>
      </c>
      <c r="G1221" s="338">
        <v>0</v>
      </c>
      <c r="H1221" s="204" t="s">
        <v>77</v>
      </c>
      <c r="I1221" s="204" t="s">
        <v>7419</v>
      </c>
    </row>
    <row r="1222" spans="1:9" x14ac:dyDescent="0.25">
      <c r="A1222" s="204" t="s">
        <v>1273</v>
      </c>
      <c r="B1222" s="9" t="str">
        <f t="shared" si="38"/>
        <v>25622000</v>
      </c>
      <c r="C1222" s="9" t="str">
        <f>VLOOKUP(B1222,COA!A:B,2,FALSE)</f>
        <v>Reg Liab-Inc Tax Rec Thru Rates-Deficit Def</v>
      </c>
      <c r="D1222" s="338" t="str">
        <f t="shared" si="37"/>
        <v>C2531</v>
      </c>
      <c r="E1222" s="338" t="s">
        <v>6886</v>
      </c>
      <c r="G1222" s="338">
        <v>0</v>
      </c>
      <c r="H1222" s="204" t="s">
        <v>77</v>
      </c>
      <c r="I1222" s="204" t="s">
        <v>7419</v>
      </c>
    </row>
    <row r="1223" spans="1:9" x14ac:dyDescent="0.25">
      <c r="A1223" s="204" t="s">
        <v>1274</v>
      </c>
      <c r="B1223" s="9" t="str">
        <f t="shared" si="38"/>
        <v>25623000</v>
      </c>
      <c r="C1223" s="9" t="str">
        <f>VLOOKUP(B1223,COA!A:B,2,FALSE)</f>
        <v>Reg Liab-Inc Tax Rec Thru Rates-Exc Def SIT</v>
      </c>
      <c r="D1223" s="338" t="str">
        <f t="shared" si="37"/>
        <v>C2531</v>
      </c>
      <c r="E1223" s="338" t="s">
        <v>6886</v>
      </c>
      <c r="G1223" s="338">
        <v>0</v>
      </c>
      <c r="H1223" s="204" t="s">
        <v>77</v>
      </c>
      <c r="I1223" s="204" t="s">
        <v>7419</v>
      </c>
    </row>
    <row r="1224" spans="1:9" x14ac:dyDescent="0.25">
      <c r="A1224" s="204" t="s">
        <v>1275</v>
      </c>
      <c r="B1224" s="9" t="str">
        <f t="shared" si="38"/>
        <v>25623100</v>
      </c>
      <c r="C1224" s="9" t="str">
        <f>VLOOKUP(B1224,COA!A:B,2,FALSE)</f>
        <v>Reg Liab-Inc Tax Rec Thru Rates-Exc Def AFUDC SIT</v>
      </c>
      <c r="D1224" s="338" t="str">
        <f t="shared" si="37"/>
        <v>C2531</v>
      </c>
      <c r="E1224" s="338" t="s">
        <v>6886</v>
      </c>
      <c r="G1224" s="338">
        <v>0</v>
      </c>
      <c r="H1224" s="204" t="s">
        <v>77</v>
      </c>
      <c r="I1224" s="204" t="s">
        <v>7419</v>
      </c>
    </row>
    <row r="1225" spans="1:9" x14ac:dyDescent="0.25">
      <c r="A1225" s="204" t="s">
        <v>1276</v>
      </c>
      <c r="B1225" s="9" t="str">
        <f t="shared" si="38"/>
        <v>25623200</v>
      </c>
      <c r="C1225" s="9" t="str">
        <f>VLOOKUP(B1225,COA!A:B,2,FALSE)</f>
        <v>Reg Liab-Inc Tax Rec Thru Rates-Exc Def Dep SIT</v>
      </c>
      <c r="D1225" s="338" t="str">
        <f t="shared" si="37"/>
        <v>C2531</v>
      </c>
      <c r="E1225" s="338" t="s">
        <v>6886</v>
      </c>
      <c r="G1225" s="338">
        <v>0</v>
      </c>
      <c r="H1225" s="204" t="s">
        <v>77</v>
      </c>
      <c r="I1225" s="204" t="s">
        <v>7419</v>
      </c>
    </row>
    <row r="1226" spans="1:9" x14ac:dyDescent="0.25">
      <c r="A1226" s="204" t="s">
        <v>1277</v>
      </c>
      <c r="B1226" s="9" t="str">
        <f t="shared" si="38"/>
        <v>25624000</v>
      </c>
      <c r="C1226" s="9" t="str">
        <f>VLOOKUP(B1226,COA!A:B,2,FALSE)</f>
        <v>Reg Liab-Inc Tax Rec Thru Rates-Other</v>
      </c>
      <c r="D1226" s="338" t="str">
        <f t="shared" si="37"/>
        <v>C2531</v>
      </c>
      <c r="E1226" s="338" t="s">
        <v>6886</v>
      </c>
      <c r="G1226" s="338">
        <v>0</v>
      </c>
      <c r="H1226" s="204" t="s">
        <v>77</v>
      </c>
      <c r="I1226" s="204" t="s">
        <v>7419</v>
      </c>
    </row>
    <row r="1227" spans="1:9" x14ac:dyDescent="0.25">
      <c r="A1227" s="204" t="s">
        <v>1278</v>
      </c>
      <c r="B1227" s="9" t="str">
        <f t="shared" si="38"/>
        <v>25624100</v>
      </c>
      <c r="C1227" s="9" t="str">
        <f>VLOOKUP(B1227,COA!A:B,2,FALSE)</f>
        <v>Reg Liab-Inc Tax Rec Thru Rates-Other-CA Tax Bal</v>
      </c>
      <c r="D1227" s="338" t="str">
        <f t="shared" ref="D1227:D1290" si="39">+I1227</f>
        <v>C2531</v>
      </c>
      <c r="E1227" s="338" t="s">
        <v>6886</v>
      </c>
      <c r="G1227" s="338">
        <v>0</v>
      </c>
      <c r="H1227" s="204" t="s">
        <v>77</v>
      </c>
      <c r="I1227" s="204" t="s">
        <v>7419</v>
      </c>
    </row>
    <row r="1228" spans="1:9" x14ac:dyDescent="0.25">
      <c r="A1228" s="204" t="s">
        <v>1279</v>
      </c>
      <c r="B1228" s="9" t="str">
        <f t="shared" si="38"/>
        <v>25626000</v>
      </c>
      <c r="C1228" s="9" t="str">
        <f>VLOOKUP(B1228,COA!A:B,2,FALSE)</f>
        <v>Reg Liab-Inc Tax Rec Thru Rates-ITC Gross-Up 3%</v>
      </c>
      <c r="D1228" s="338" t="str">
        <f t="shared" si="39"/>
        <v>C2531</v>
      </c>
      <c r="E1228" s="338" t="s">
        <v>6886</v>
      </c>
      <c r="G1228" s="338">
        <v>0</v>
      </c>
      <c r="H1228" s="204" t="s">
        <v>77</v>
      </c>
      <c r="I1228" s="204" t="s">
        <v>7419</v>
      </c>
    </row>
    <row r="1229" spans="1:9" x14ac:dyDescent="0.25">
      <c r="A1229" s="204" t="s">
        <v>1280</v>
      </c>
      <c r="B1229" s="9" t="str">
        <f t="shared" si="38"/>
        <v>25626100</v>
      </c>
      <c r="C1229" s="9" t="str">
        <f>VLOOKUP(B1229,COA!A:B,2,FALSE)</f>
        <v>Reg Liab-Inc Tax Rec Thru Rates-ITC Gross-Up 4%</v>
      </c>
      <c r="D1229" s="338" t="str">
        <f t="shared" si="39"/>
        <v>C2531</v>
      </c>
      <c r="E1229" s="338" t="s">
        <v>6886</v>
      </c>
      <c r="G1229" s="338">
        <v>0</v>
      </c>
      <c r="H1229" s="204" t="s">
        <v>77</v>
      </c>
      <c r="I1229" s="204" t="s">
        <v>7419</v>
      </c>
    </row>
    <row r="1230" spans="1:9" x14ac:dyDescent="0.25">
      <c r="A1230" s="204" t="s">
        <v>1281</v>
      </c>
      <c r="B1230" s="9" t="str">
        <f t="shared" si="38"/>
        <v>25626200</v>
      </c>
      <c r="C1230" s="9" t="str">
        <f>VLOOKUP(B1230,COA!A:B,2,FALSE)</f>
        <v>Reg Liab-Inc Tax Rec Thru Rates-ITC Gross-Up 10%</v>
      </c>
      <c r="D1230" s="338" t="str">
        <f t="shared" si="39"/>
        <v>C2531</v>
      </c>
      <c r="E1230" s="338" t="s">
        <v>6886</v>
      </c>
      <c r="G1230" s="338">
        <v>0</v>
      </c>
      <c r="H1230" s="204" t="s">
        <v>77</v>
      </c>
      <c r="I1230" s="204" t="s">
        <v>7419</v>
      </c>
    </row>
    <row r="1231" spans="1:9" x14ac:dyDescent="0.25">
      <c r="A1231" s="204" t="s">
        <v>1282</v>
      </c>
      <c r="B1231" s="9" t="str">
        <f t="shared" si="38"/>
        <v>25626300</v>
      </c>
      <c r="C1231" s="9" t="str">
        <f>VLOOKUP(B1231,COA!A:B,2,FALSE)</f>
        <v>Reg Liab-Inc Tax Rec Thru Rates-ITC Gross-Up 6%</v>
      </c>
      <c r="D1231" s="338" t="str">
        <f t="shared" si="39"/>
        <v>C2531</v>
      </c>
      <c r="E1231" s="338" t="s">
        <v>6886</v>
      </c>
      <c r="G1231" s="338">
        <v>0</v>
      </c>
      <c r="H1231" s="204" t="s">
        <v>77</v>
      </c>
      <c r="I1231" s="204" t="s">
        <v>7419</v>
      </c>
    </row>
    <row r="1232" spans="1:9" x14ac:dyDescent="0.25">
      <c r="A1232" s="204" t="s">
        <v>1283</v>
      </c>
      <c r="B1232" s="9" t="str">
        <f t="shared" si="38"/>
        <v>25626500</v>
      </c>
      <c r="C1232" s="9" t="str">
        <f>VLOOKUP(B1232,COA!A:B,2,FALSE)</f>
        <v>Reg Liab-Inc Tax Rec Thru Rates-ITC Gross-Up SIT</v>
      </c>
      <c r="D1232" s="338" t="str">
        <f t="shared" si="39"/>
        <v>C2531</v>
      </c>
      <c r="E1232" s="338" t="s">
        <v>6886</v>
      </c>
      <c r="G1232" s="338">
        <v>0</v>
      </c>
      <c r="H1232" s="204" t="s">
        <v>77</v>
      </c>
      <c r="I1232" s="204" t="s">
        <v>7419</v>
      </c>
    </row>
    <row r="1233" spans="1:9" x14ac:dyDescent="0.25">
      <c r="A1233" s="204" t="s">
        <v>1284</v>
      </c>
      <c r="B1233" s="9" t="str">
        <f t="shared" si="38"/>
        <v>25629000</v>
      </c>
      <c r="C1233" s="9" t="str">
        <f>VLOOKUP(B1233,COA!A:B,2,FALSE)</f>
        <v>Reg Liab-Inc Tax Rec Thru Rates-Reg Asset Reclass</v>
      </c>
      <c r="D1233" s="338" t="str">
        <f t="shared" si="39"/>
        <v>C2531</v>
      </c>
      <c r="E1233" s="338" t="s">
        <v>6886</v>
      </c>
      <c r="G1233" s="338">
        <v>0</v>
      </c>
      <c r="H1233" s="204" t="s">
        <v>77</v>
      </c>
      <c r="I1233" s="204" t="s">
        <v>7419</v>
      </c>
    </row>
    <row r="1234" spans="1:9" x14ac:dyDescent="0.25">
      <c r="A1234" s="204" t="s">
        <v>1285</v>
      </c>
      <c r="B1234" s="9" t="str">
        <f t="shared" si="38"/>
        <v>25632000</v>
      </c>
      <c r="C1234" s="9" t="str">
        <f>VLOOKUP(B1234,COA!A:B,2,FALSE)</f>
        <v>Reg Liab - Revenue Stabilization</v>
      </c>
      <c r="D1234" s="338" t="str">
        <f t="shared" si="39"/>
        <v>C2531</v>
      </c>
      <c r="E1234" s="338" t="s">
        <v>6886</v>
      </c>
      <c r="G1234" s="338">
        <v>0</v>
      </c>
      <c r="H1234" s="204" t="s">
        <v>77</v>
      </c>
      <c r="I1234" s="204" t="s">
        <v>7419</v>
      </c>
    </row>
    <row r="1235" spans="1:9" x14ac:dyDescent="0.25">
      <c r="A1235" s="204" t="s">
        <v>1286</v>
      </c>
      <c r="B1235" s="9" t="str">
        <f t="shared" si="38"/>
        <v>25632100</v>
      </c>
      <c r="C1235" s="9" t="str">
        <f>VLOOKUP(B1235,COA!A:B,2,FALSE)</f>
        <v>Reg Liab - Property Tax Stabilization</v>
      </c>
      <c r="D1235" s="338" t="str">
        <f t="shared" si="39"/>
        <v>C2531</v>
      </c>
      <c r="E1235" s="338" t="s">
        <v>6886</v>
      </c>
      <c r="G1235" s="338">
        <v>0</v>
      </c>
      <c r="H1235" s="204" t="s">
        <v>77</v>
      </c>
      <c r="I1235" s="204" t="s">
        <v>7419</v>
      </c>
    </row>
    <row r="1236" spans="1:9" x14ac:dyDescent="0.25">
      <c r="A1236" s="204" t="s">
        <v>1287</v>
      </c>
      <c r="B1236" s="9" t="str">
        <f t="shared" si="38"/>
        <v>25632300</v>
      </c>
      <c r="C1236" s="9" t="str">
        <f>VLOOKUP(B1236,COA!A:B,2,FALSE)</f>
        <v>Reg Liab-Tax Cuts &amp; Jobs Act Customer Refunds - LT</v>
      </c>
      <c r="D1236" s="338" t="str">
        <f t="shared" si="39"/>
        <v>C2531</v>
      </c>
      <c r="E1236" s="338" t="s">
        <v>6886</v>
      </c>
      <c r="G1236" s="338">
        <v>0</v>
      </c>
      <c r="H1236" s="204" t="s">
        <v>77</v>
      </c>
      <c r="I1236" s="204" t="s">
        <v>7419</v>
      </c>
    </row>
    <row r="1237" spans="1:9" x14ac:dyDescent="0.25">
      <c r="A1237" s="204" t="s">
        <v>1288</v>
      </c>
      <c r="B1237" s="9" t="str">
        <f t="shared" si="38"/>
        <v>25632400</v>
      </c>
      <c r="C1237" s="9" t="str">
        <f>VLOOKUP(B1237,COA!A:B,2,FALSE)</f>
        <v>Reg Liab - Refund to Customers</v>
      </c>
      <c r="D1237" s="338" t="str">
        <f t="shared" si="39"/>
        <v>C2531</v>
      </c>
      <c r="E1237" s="338" t="s">
        <v>6886</v>
      </c>
      <c r="G1237" s="338">
        <v>0</v>
      </c>
      <c r="H1237" s="204" t="s">
        <v>77</v>
      </c>
      <c r="I1237" s="204" t="s">
        <v>7419</v>
      </c>
    </row>
    <row r="1238" spans="1:9" x14ac:dyDescent="0.25">
      <c r="A1238" s="204" t="s">
        <v>1289</v>
      </c>
      <c r="B1238" s="9" t="str">
        <f t="shared" si="38"/>
        <v>25632500</v>
      </c>
      <c r="C1238" s="9" t="str">
        <f>VLOOKUP(B1238,COA!A:B,2,FALSE)</f>
        <v>Reg Liab - Conservation Surcharge</v>
      </c>
      <c r="D1238" s="338" t="str">
        <f t="shared" si="39"/>
        <v>C2531</v>
      </c>
      <c r="E1238" s="338" t="s">
        <v>6886</v>
      </c>
      <c r="G1238" s="338">
        <v>0</v>
      </c>
      <c r="H1238" s="204" t="s">
        <v>77</v>
      </c>
      <c r="I1238" s="204" t="s">
        <v>7419</v>
      </c>
    </row>
    <row r="1239" spans="1:9" x14ac:dyDescent="0.25">
      <c r="A1239" s="204" t="s">
        <v>1290</v>
      </c>
      <c r="B1239" s="9" t="str">
        <f t="shared" si="38"/>
        <v>25632600</v>
      </c>
      <c r="C1239" s="9" t="str">
        <f>VLOOKUP(B1239,COA!A:B,2,FALSE)</f>
        <v>Reg Liab - Purchased Sewer Stabilization</v>
      </c>
      <c r="D1239" s="338" t="str">
        <f t="shared" si="39"/>
        <v>C2531</v>
      </c>
      <c r="E1239" s="338" t="s">
        <v>6886</v>
      </c>
      <c r="G1239" s="338">
        <v>0</v>
      </c>
      <c r="H1239" s="204" t="s">
        <v>77</v>
      </c>
      <c r="I1239" s="204" t="s">
        <v>7419</v>
      </c>
    </row>
    <row r="1240" spans="1:9" x14ac:dyDescent="0.25">
      <c r="A1240" s="204" t="s">
        <v>1291</v>
      </c>
      <c r="B1240" s="9" t="str">
        <f t="shared" si="38"/>
        <v>25632700</v>
      </c>
      <c r="C1240" s="9" t="str">
        <f>VLOOKUP(B1240,COA!A:B,2,FALSE)</f>
        <v>Reg Liab - Purchased Water Stabilization</v>
      </c>
      <c r="D1240" s="338" t="str">
        <f t="shared" si="39"/>
        <v>C2531</v>
      </c>
      <c r="E1240" s="338" t="s">
        <v>6886</v>
      </c>
      <c r="G1240" s="338">
        <v>0</v>
      </c>
      <c r="H1240" s="204" t="s">
        <v>77</v>
      </c>
      <c r="I1240" s="204" t="s">
        <v>7419</v>
      </c>
    </row>
    <row r="1241" spans="1:9" x14ac:dyDescent="0.25">
      <c r="A1241" s="204" t="s">
        <v>1292</v>
      </c>
      <c r="B1241" s="9" t="str">
        <f t="shared" si="38"/>
        <v>25632800</v>
      </c>
      <c r="C1241" s="9" t="str">
        <f>VLOOKUP(B1241,COA!A:B,2,FALSE)</f>
        <v>Reg Liab - Property Tax Settlement</v>
      </c>
      <c r="D1241" s="338" t="str">
        <f t="shared" si="39"/>
        <v>C2531</v>
      </c>
      <c r="E1241" s="338" t="s">
        <v>6886</v>
      </c>
      <c r="G1241" s="338">
        <v>0</v>
      </c>
      <c r="H1241" s="204" t="s">
        <v>77</v>
      </c>
      <c r="I1241" s="204" t="s">
        <v>7419</v>
      </c>
    </row>
    <row r="1242" spans="1:9" x14ac:dyDescent="0.25">
      <c r="A1242" s="204" t="s">
        <v>1293</v>
      </c>
      <c r="B1242" s="9" t="str">
        <f t="shared" si="38"/>
        <v>25632900</v>
      </c>
      <c r="C1242" s="9" t="str">
        <f>VLOOKUP(B1242,COA!A:B,2,FALSE)</f>
        <v>Reg Liab - PBOP Tracker</v>
      </c>
      <c r="D1242" s="338" t="str">
        <f t="shared" si="39"/>
        <v>C2531</v>
      </c>
      <c r="E1242" s="338" t="s">
        <v>6886</v>
      </c>
      <c r="G1242" s="338">
        <v>0</v>
      </c>
      <c r="H1242" s="204" t="s">
        <v>77</v>
      </c>
      <c r="I1242" s="204" t="s">
        <v>7419</v>
      </c>
    </row>
    <row r="1243" spans="1:9" x14ac:dyDescent="0.25">
      <c r="A1243" s="204" t="s">
        <v>1294</v>
      </c>
      <c r="B1243" s="9" t="str">
        <f t="shared" si="38"/>
        <v>25633000</v>
      </c>
      <c r="C1243" s="9" t="str">
        <f>VLOOKUP(B1243,COA!A:B,2,FALSE)</f>
        <v>Reg Liab - Pension Tracker</v>
      </c>
      <c r="D1243" s="338" t="str">
        <f t="shared" si="39"/>
        <v>C2531</v>
      </c>
      <c r="E1243" s="338" t="s">
        <v>6886</v>
      </c>
      <c r="G1243" s="338">
        <v>0</v>
      </c>
      <c r="H1243" s="204" t="s">
        <v>77</v>
      </c>
      <c r="I1243" s="204" t="s">
        <v>7419</v>
      </c>
    </row>
    <row r="1244" spans="1:9" x14ac:dyDescent="0.25">
      <c r="A1244" s="204" t="s">
        <v>1295</v>
      </c>
      <c r="B1244" s="9" t="str">
        <f t="shared" si="38"/>
        <v>25633100</v>
      </c>
      <c r="C1244" s="9" t="str">
        <f>VLOOKUP(B1244,COA!A:B,2,FALSE)</f>
        <v>Reg Liab - Tank Painting Tracker</v>
      </c>
      <c r="D1244" s="338" t="str">
        <f t="shared" si="39"/>
        <v>C2531</v>
      </c>
      <c r="E1244" s="338" t="s">
        <v>6886</v>
      </c>
      <c r="G1244" s="338">
        <v>0</v>
      </c>
      <c r="H1244" s="204" t="s">
        <v>77</v>
      </c>
      <c r="I1244" s="204" t="s">
        <v>7419</v>
      </c>
    </row>
    <row r="1245" spans="1:9" x14ac:dyDescent="0.25">
      <c r="A1245" s="204" t="s">
        <v>1296</v>
      </c>
      <c r="B1245" s="9" t="str">
        <f t="shared" si="38"/>
        <v>25633200</v>
      </c>
      <c r="C1245" s="9" t="str">
        <f>VLOOKUP(B1245,COA!A:B,2,FALSE)</f>
        <v>Reg Liab - Service Company Pension</v>
      </c>
      <c r="D1245" s="338" t="str">
        <f t="shared" si="39"/>
        <v>C2531</v>
      </c>
      <c r="E1245" s="338" t="s">
        <v>6886</v>
      </c>
      <c r="G1245" s="338">
        <v>0</v>
      </c>
      <c r="H1245" s="204" t="s">
        <v>77</v>
      </c>
      <c r="I1245" s="204" t="s">
        <v>7419</v>
      </c>
    </row>
    <row r="1246" spans="1:9" x14ac:dyDescent="0.25">
      <c r="A1246" s="204" t="s">
        <v>1297</v>
      </c>
      <c r="B1246" s="9" t="str">
        <f t="shared" si="38"/>
        <v>25633300</v>
      </c>
      <c r="C1246" s="9" t="str">
        <f>VLOOKUP(B1246,COA!A:B,2,FALSE)</f>
        <v>Reg Liab - PBOP</v>
      </c>
      <c r="D1246" s="338" t="str">
        <f t="shared" si="39"/>
        <v>C2531</v>
      </c>
      <c r="E1246" s="338" t="s">
        <v>6886</v>
      </c>
      <c r="G1246" s="338">
        <v>0</v>
      </c>
      <c r="H1246" s="204" t="s">
        <v>77</v>
      </c>
      <c r="I1246" s="204" t="s">
        <v>7419</v>
      </c>
    </row>
    <row r="1247" spans="1:9" x14ac:dyDescent="0.25">
      <c r="A1247" s="204" t="s">
        <v>1298</v>
      </c>
      <c r="B1247" s="9" t="str">
        <f t="shared" si="38"/>
        <v>25633400</v>
      </c>
      <c r="C1247" s="9" t="str">
        <f>VLOOKUP(B1247,COA!A:B,2,FALSE)</f>
        <v>Reg Liab - Pension Internal Reserve</v>
      </c>
      <c r="D1247" s="338" t="str">
        <f t="shared" si="39"/>
        <v>C2531</v>
      </c>
      <c r="E1247" s="338" t="s">
        <v>6886</v>
      </c>
      <c r="G1247" s="338">
        <v>0</v>
      </c>
      <c r="H1247" s="204" t="s">
        <v>77</v>
      </c>
      <c r="I1247" s="204" t="s">
        <v>7419</v>
      </c>
    </row>
    <row r="1248" spans="1:9" x14ac:dyDescent="0.25">
      <c r="A1248" s="204" t="s">
        <v>1299</v>
      </c>
      <c r="B1248" s="9" t="str">
        <f t="shared" si="38"/>
        <v>25633500</v>
      </c>
      <c r="C1248" s="9" t="str">
        <f>VLOOKUP(B1248,COA!A:B,2,FALSE)</f>
        <v>Reg Liab - Gain on Debt</v>
      </c>
      <c r="D1248" s="338" t="str">
        <f t="shared" si="39"/>
        <v>C2531</v>
      </c>
      <c r="E1248" s="338" t="s">
        <v>6886</v>
      </c>
      <c r="G1248" s="338">
        <v>0</v>
      </c>
      <c r="H1248" s="204" t="s">
        <v>77</v>
      </c>
      <c r="I1248" s="204" t="s">
        <v>7419</v>
      </c>
    </row>
    <row r="1249" spans="1:9" x14ac:dyDescent="0.25">
      <c r="A1249" s="204" t="s">
        <v>1300</v>
      </c>
      <c r="B1249" s="9" t="str">
        <f t="shared" si="38"/>
        <v>25633700</v>
      </c>
      <c r="C1249" s="9" t="str">
        <f>VLOOKUP(B1249,COA!A:B,2,FALSE)</f>
        <v>Reg Liab - Gain on Acquisition</v>
      </c>
      <c r="D1249" s="338" t="str">
        <f t="shared" si="39"/>
        <v>C2531</v>
      </c>
      <c r="E1249" s="338" t="s">
        <v>6886</v>
      </c>
      <c r="G1249" s="338">
        <v>0</v>
      </c>
      <c r="H1249" s="204" t="s">
        <v>77</v>
      </c>
      <c r="I1249" s="204" t="s">
        <v>7419</v>
      </c>
    </row>
    <row r="1250" spans="1:9" x14ac:dyDescent="0.25">
      <c r="A1250" s="204" t="s">
        <v>1301</v>
      </c>
      <c r="B1250" s="9" t="str">
        <f t="shared" si="38"/>
        <v>25633800</v>
      </c>
      <c r="C1250" s="9" t="str">
        <f>VLOOKUP(B1250,COA!A:B,2,FALSE)</f>
        <v>Reg Liab - Accrued Rate Case Expense</v>
      </c>
      <c r="D1250" s="338" t="str">
        <f t="shared" si="39"/>
        <v>C2531</v>
      </c>
      <c r="E1250" s="338" t="s">
        <v>6886</v>
      </c>
      <c r="G1250" s="338">
        <v>0</v>
      </c>
      <c r="H1250" s="204" t="s">
        <v>77</v>
      </c>
      <c r="I1250" s="204" t="s">
        <v>7419</v>
      </c>
    </row>
    <row r="1251" spans="1:9" x14ac:dyDescent="0.25">
      <c r="A1251" s="204" t="s">
        <v>1302</v>
      </c>
      <c r="B1251" s="9" t="str">
        <f t="shared" si="38"/>
        <v>25634100</v>
      </c>
      <c r="C1251" s="9" t="str">
        <f>VLOOKUP(B1251,COA!A:B,2,FALSE)</f>
        <v>Reg Liab - Property Sales in Suspense</v>
      </c>
      <c r="D1251" s="338" t="str">
        <f t="shared" si="39"/>
        <v>C2531</v>
      </c>
      <c r="E1251" s="338" t="s">
        <v>6886</v>
      </c>
      <c r="G1251" s="338">
        <v>0</v>
      </c>
      <c r="H1251" s="204" t="s">
        <v>77</v>
      </c>
      <c r="I1251" s="204" t="s">
        <v>7419</v>
      </c>
    </row>
    <row r="1252" spans="1:9" x14ac:dyDescent="0.25">
      <c r="A1252" s="204" t="s">
        <v>1303</v>
      </c>
      <c r="B1252" s="9" t="str">
        <f t="shared" si="38"/>
        <v>25634400</v>
      </c>
      <c r="C1252" s="9" t="str">
        <f>VLOOKUP(B1252,COA!A:B,2,FALSE)</f>
        <v>Reg Liab - CA Aerojet Project</v>
      </c>
      <c r="D1252" s="338" t="str">
        <f t="shared" si="39"/>
        <v>C2531</v>
      </c>
      <c r="E1252" s="338" t="s">
        <v>6886</v>
      </c>
      <c r="G1252" s="338">
        <v>0</v>
      </c>
      <c r="H1252" s="204" t="s">
        <v>77</v>
      </c>
      <c r="I1252" s="204" t="s">
        <v>7419</v>
      </c>
    </row>
    <row r="1253" spans="1:9" x14ac:dyDescent="0.25">
      <c r="A1253" s="204" t="s">
        <v>1304</v>
      </c>
      <c r="B1253" s="9" t="str">
        <f t="shared" si="38"/>
        <v>25634500</v>
      </c>
      <c r="C1253" s="9" t="str">
        <f>VLOOKUP(B1253,COA!A:B,2,FALSE)</f>
        <v>Reg Liab - MTBE Settlement</v>
      </c>
      <c r="D1253" s="338" t="str">
        <f t="shared" si="39"/>
        <v>C2531</v>
      </c>
      <c r="E1253" s="338" t="s">
        <v>6886</v>
      </c>
      <c r="G1253" s="338">
        <v>0</v>
      </c>
      <c r="H1253" s="204" t="s">
        <v>77</v>
      </c>
      <c r="I1253" s="204" t="s">
        <v>7419</v>
      </c>
    </row>
    <row r="1254" spans="1:9" x14ac:dyDescent="0.25">
      <c r="A1254" s="204" t="s">
        <v>1305</v>
      </c>
      <c r="B1254" s="9" t="str">
        <f t="shared" si="38"/>
        <v>25634600</v>
      </c>
      <c r="C1254" s="9" t="str">
        <f>VLOOKUP(B1254,COA!A:B,2,FALSE)</f>
        <v>Reg Liab - Atrazine Settlement</v>
      </c>
      <c r="D1254" s="338" t="str">
        <f t="shared" si="39"/>
        <v>C2531</v>
      </c>
      <c r="E1254" s="338" t="s">
        <v>6886</v>
      </c>
      <c r="G1254" s="338">
        <v>0</v>
      </c>
      <c r="H1254" s="204" t="s">
        <v>77</v>
      </c>
      <c r="I1254" s="204" t="s">
        <v>7419</v>
      </c>
    </row>
    <row r="1255" spans="1:9" x14ac:dyDescent="0.25">
      <c r="A1255" s="204" t="s">
        <v>1306</v>
      </c>
      <c r="B1255" s="9" t="str">
        <f t="shared" si="38"/>
        <v>25634700</v>
      </c>
      <c r="C1255" s="9" t="str">
        <f>VLOOKUP(B1255,COA!A:B,2,FALSE)</f>
        <v>Reg Liab - Interim Rates</v>
      </c>
      <c r="D1255" s="338" t="str">
        <f t="shared" si="39"/>
        <v>C2531</v>
      </c>
      <c r="E1255" s="338" t="s">
        <v>6886</v>
      </c>
      <c r="G1255" s="338">
        <v>0</v>
      </c>
      <c r="H1255" s="204" t="s">
        <v>77</v>
      </c>
      <c r="I1255" s="204" t="s">
        <v>7419</v>
      </c>
    </row>
    <row r="1256" spans="1:9" x14ac:dyDescent="0.25">
      <c r="A1256" s="204" t="s">
        <v>1307</v>
      </c>
      <c r="B1256" s="9" t="str">
        <f t="shared" si="38"/>
        <v>25634800</v>
      </c>
      <c r="C1256" s="9" t="str">
        <f>VLOOKUP(B1256,COA!A:B,2,FALSE)</f>
        <v>Reg Liab - Def Revenue CIAC FIT</v>
      </c>
      <c r="D1256" s="338" t="str">
        <f t="shared" si="39"/>
        <v>C2531</v>
      </c>
      <c r="E1256" s="338" t="s">
        <v>6886</v>
      </c>
      <c r="G1256" s="338">
        <v>0</v>
      </c>
      <c r="H1256" s="204" t="s">
        <v>77</v>
      </c>
      <c r="I1256" s="204" t="s">
        <v>7419</v>
      </c>
    </row>
    <row r="1257" spans="1:9" x14ac:dyDescent="0.25">
      <c r="A1257" s="204" t="s">
        <v>1308</v>
      </c>
      <c r="B1257" s="9" t="str">
        <f t="shared" si="38"/>
        <v>25634900</v>
      </c>
      <c r="C1257" s="9" t="str">
        <f>VLOOKUP(B1257,COA!A:B,2,FALSE)</f>
        <v>Reg Liab - Cost of Capital Reserve</v>
      </c>
      <c r="D1257" s="338" t="str">
        <f t="shared" si="39"/>
        <v>C2531</v>
      </c>
      <c r="E1257" s="338" t="s">
        <v>6886</v>
      </c>
      <c r="G1257" s="338">
        <v>0</v>
      </c>
      <c r="H1257" s="204" t="s">
        <v>77</v>
      </c>
      <c r="I1257" s="204" t="s">
        <v>7419</v>
      </c>
    </row>
    <row r="1258" spans="1:9" x14ac:dyDescent="0.25">
      <c r="A1258" s="204" t="s">
        <v>1309</v>
      </c>
      <c r="B1258" s="9" t="str">
        <f t="shared" si="38"/>
        <v>25635500</v>
      </c>
      <c r="C1258" s="9" t="str">
        <f>VLOOKUP(B1258,COA!A:B,2,FALSE)</f>
        <v>Reg Liab - Refund of COR</v>
      </c>
      <c r="D1258" s="338" t="str">
        <f t="shared" si="39"/>
        <v>C2531</v>
      </c>
      <c r="E1258" s="338" t="s">
        <v>6886</v>
      </c>
      <c r="G1258" s="338">
        <v>0</v>
      </c>
      <c r="H1258" s="204" t="s">
        <v>77</v>
      </c>
      <c r="I1258" s="204" t="s">
        <v>7419</v>
      </c>
    </row>
    <row r="1259" spans="1:9" x14ac:dyDescent="0.25">
      <c r="A1259" s="204" t="s">
        <v>1310</v>
      </c>
      <c r="B1259" s="9" t="str">
        <f t="shared" si="38"/>
        <v>25680163</v>
      </c>
      <c r="C1259" s="9" t="str">
        <f>VLOOKUP(B1259,COA!A:B,2,FALSE)</f>
        <v>DSIC Surcharge Overcollection</v>
      </c>
      <c r="D1259" s="338" t="str">
        <f t="shared" si="39"/>
        <v>C2531</v>
      </c>
      <c r="E1259" s="338" t="s">
        <v>6886</v>
      </c>
      <c r="G1259" s="338">
        <v>0</v>
      </c>
      <c r="H1259" s="204" t="s">
        <v>77</v>
      </c>
      <c r="I1259" s="204" t="s">
        <v>7419</v>
      </c>
    </row>
    <row r="1260" spans="1:9" x14ac:dyDescent="0.25">
      <c r="A1260" s="204" t="s">
        <v>1311</v>
      </c>
      <c r="B1260" s="9" t="str">
        <f t="shared" si="38"/>
        <v>25689900</v>
      </c>
      <c r="C1260" s="9" t="str">
        <f>VLOOKUP(B1260,COA!A:B,2,FALSE)</f>
        <v>Reg Liab - Other</v>
      </c>
      <c r="D1260" s="338" t="str">
        <f t="shared" si="39"/>
        <v>C2531</v>
      </c>
      <c r="E1260" s="338" t="s">
        <v>6886</v>
      </c>
      <c r="G1260" s="338">
        <v>0</v>
      </c>
      <c r="H1260" s="204" t="s">
        <v>77</v>
      </c>
      <c r="I1260" s="204" t="s">
        <v>7419</v>
      </c>
    </row>
    <row r="1261" spans="1:9" x14ac:dyDescent="0.25">
      <c r="A1261" s="204" t="s">
        <v>1312</v>
      </c>
      <c r="B1261" s="9" t="str">
        <f t="shared" si="38"/>
        <v>25700000</v>
      </c>
      <c r="C1261" s="9" t="str">
        <f>VLOOKUP(B1261,COA!A:B,2,FALSE)</f>
        <v>Reg Liab - Cost of Removal</v>
      </c>
      <c r="D1261" s="338" t="str">
        <f t="shared" si="39"/>
        <v>C1081</v>
      </c>
      <c r="E1261" s="338" t="s">
        <v>6886</v>
      </c>
      <c r="G1261" s="338">
        <v>0</v>
      </c>
      <c r="H1261" s="204" t="s">
        <v>77</v>
      </c>
      <c r="I1261" s="204" t="s">
        <v>7352</v>
      </c>
    </row>
    <row r="1262" spans="1:9" x14ac:dyDescent="0.25">
      <c r="A1262" s="204" t="s">
        <v>1313</v>
      </c>
      <c r="B1262" s="9" t="str">
        <f t="shared" si="38"/>
        <v>25710000</v>
      </c>
      <c r="C1262" s="9" t="str">
        <f>VLOOKUP(B1262,COA!A:B,2,FALSE)</f>
        <v>Reg Liab - Cost of Removal RWIP</v>
      </c>
      <c r="D1262" s="338" t="str">
        <f t="shared" si="39"/>
        <v>C1862</v>
      </c>
      <c r="E1262" s="338" t="s">
        <v>6886</v>
      </c>
      <c r="G1262" s="338">
        <v>0</v>
      </c>
      <c r="H1262" s="204" t="s">
        <v>77</v>
      </c>
      <c r="I1262" s="204" t="s">
        <v>7394</v>
      </c>
    </row>
    <row r="1263" spans="1:9" x14ac:dyDescent="0.25">
      <c r="A1263" s="204" t="s">
        <v>1314</v>
      </c>
      <c r="B1263" s="9" t="str">
        <f t="shared" si="38"/>
        <v>26212000</v>
      </c>
      <c r="C1263" s="9" t="str">
        <f>VLOOKUP(B1263,COA!A:B,2,FALSE)</f>
        <v>Accrued Pension Expense</v>
      </c>
      <c r="D1263" s="338" t="str">
        <f t="shared" si="39"/>
        <v>C2532</v>
      </c>
      <c r="E1263" s="338" t="s">
        <v>6886</v>
      </c>
      <c r="G1263" s="338">
        <v>0</v>
      </c>
      <c r="H1263" s="204" t="s">
        <v>77</v>
      </c>
      <c r="I1263" s="204" t="s">
        <v>7425</v>
      </c>
    </row>
    <row r="1264" spans="1:9" x14ac:dyDescent="0.25">
      <c r="A1264" s="204" t="s">
        <v>1315</v>
      </c>
      <c r="B1264" s="9" t="str">
        <f t="shared" si="38"/>
        <v>26214000</v>
      </c>
      <c r="C1264" s="9" t="str">
        <f>VLOOKUP(B1264,COA!A:B,2,FALSE)</f>
        <v>Accrued Pension Expense ERP (SERP)</v>
      </c>
      <c r="D1264" s="338" t="str">
        <f t="shared" si="39"/>
        <v>C2532</v>
      </c>
      <c r="E1264" s="338" t="s">
        <v>6886</v>
      </c>
      <c r="G1264" s="338">
        <v>0</v>
      </c>
      <c r="H1264" s="204" t="s">
        <v>77</v>
      </c>
      <c r="I1264" s="204" t="s">
        <v>7425</v>
      </c>
    </row>
    <row r="1265" spans="1:9" x14ac:dyDescent="0.25">
      <c r="A1265" s="204" t="s">
        <v>1316</v>
      </c>
      <c r="B1265" s="9" t="str">
        <f t="shared" si="38"/>
        <v>26215000</v>
      </c>
      <c r="C1265" s="9" t="str">
        <f>VLOOKUP(B1265,COA!A:B,2,FALSE)</f>
        <v>Accrued Pension Expense ERP (SRP)</v>
      </c>
      <c r="D1265" s="338" t="str">
        <f t="shared" si="39"/>
        <v>C2532</v>
      </c>
      <c r="E1265" s="338" t="s">
        <v>6886</v>
      </c>
      <c r="G1265" s="338">
        <v>0</v>
      </c>
      <c r="H1265" s="204" t="s">
        <v>77</v>
      </c>
      <c r="I1265" s="204" t="s">
        <v>7425</v>
      </c>
    </row>
    <row r="1266" spans="1:9" x14ac:dyDescent="0.25">
      <c r="A1266" s="204" t="s">
        <v>1317</v>
      </c>
      <c r="B1266" s="9" t="str">
        <f t="shared" si="38"/>
        <v>26216000</v>
      </c>
      <c r="C1266" s="9" t="str">
        <f>VLOOKUP(B1266,COA!A:B,2,FALSE)</f>
        <v>Accrued Pension Exp ERP (Special Contract)</v>
      </c>
      <c r="D1266" s="338" t="str">
        <f t="shared" si="39"/>
        <v>C2532</v>
      </c>
      <c r="E1266" s="338" t="s">
        <v>6886</v>
      </c>
      <c r="G1266" s="338">
        <v>0</v>
      </c>
      <c r="H1266" s="204" t="s">
        <v>77</v>
      </c>
      <c r="I1266" s="204" t="s">
        <v>7425</v>
      </c>
    </row>
    <row r="1267" spans="1:9" x14ac:dyDescent="0.25">
      <c r="A1267" s="204" t="s">
        <v>1318</v>
      </c>
      <c r="B1267" s="9" t="str">
        <f t="shared" si="38"/>
        <v>26221000</v>
      </c>
      <c r="C1267" s="9" t="str">
        <f>VLOOKUP(B1267,COA!A:B,2,FALSE)</f>
        <v>Accrued OPEB NEI</v>
      </c>
      <c r="D1267" s="338" t="str">
        <f t="shared" si="39"/>
        <v>C2532</v>
      </c>
      <c r="E1267" s="338" t="s">
        <v>6886</v>
      </c>
      <c r="G1267" s="338">
        <v>0</v>
      </c>
      <c r="H1267" s="204" t="s">
        <v>77</v>
      </c>
      <c r="I1267" s="204" t="s">
        <v>7425</v>
      </c>
    </row>
    <row r="1268" spans="1:9" x14ac:dyDescent="0.25">
      <c r="A1268" s="204" t="s">
        <v>1319</v>
      </c>
      <c r="B1268" s="9" t="str">
        <f t="shared" si="38"/>
        <v>26221100</v>
      </c>
      <c r="C1268" s="9" t="str">
        <f>VLOOKUP(B1268,COA!A:B,2,FALSE)</f>
        <v>Accrued OPEB NEI</v>
      </c>
      <c r="D1268" s="338" t="str">
        <f t="shared" si="39"/>
        <v>C2532</v>
      </c>
      <c r="E1268" s="338" t="s">
        <v>6886</v>
      </c>
      <c r="G1268" s="338">
        <v>0</v>
      </c>
      <c r="H1268" s="204" t="s">
        <v>77</v>
      </c>
      <c r="I1268" s="204" t="s">
        <v>7425</v>
      </c>
    </row>
    <row r="1269" spans="1:9" x14ac:dyDescent="0.25">
      <c r="A1269" s="204" t="s">
        <v>1320</v>
      </c>
      <c r="B1269" s="9" t="str">
        <f t="shared" si="38"/>
        <v>26221500</v>
      </c>
      <c r="C1269" s="9" t="str">
        <f>VLOOKUP(B1269,COA!A:B,2,FALSE)</f>
        <v>Accrued OPEB Medicare Subsidy</v>
      </c>
      <c r="D1269" s="338" t="str">
        <f t="shared" si="39"/>
        <v>C2532</v>
      </c>
      <c r="E1269" s="338" t="s">
        <v>6886</v>
      </c>
      <c r="G1269" s="338">
        <v>0</v>
      </c>
      <c r="H1269" s="204" t="s">
        <v>77</v>
      </c>
      <c r="I1269" s="204" t="s">
        <v>7425</v>
      </c>
    </row>
    <row r="1270" spans="1:9" x14ac:dyDescent="0.25">
      <c r="A1270" s="204" t="s">
        <v>1321</v>
      </c>
      <c r="B1270" s="9" t="str">
        <f t="shared" si="38"/>
        <v>26233000</v>
      </c>
      <c r="C1270" s="9" t="str">
        <f>VLOOKUP(B1270,COA!A:B,2,FALSE)</f>
        <v>Deferred Revenue - CIAC</v>
      </c>
      <c r="D1270" s="338" t="str">
        <f t="shared" si="39"/>
        <v>C2532</v>
      </c>
      <c r="E1270" s="338" t="s">
        <v>6886</v>
      </c>
      <c r="G1270" s="338">
        <v>0</v>
      </c>
      <c r="H1270" s="204" t="s">
        <v>77</v>
      </c>
      <c r="I1270" s="204" t="s">
        <v>7425</v>
      </c>
    </row>
    <row r="1271" spans="1:9" x14ac:dyDescent="0.25">
      <c r="A1271" s="204" t="s">
        <v>1322</v>
      </c>
      <c r="B1271" s="9" t="str">
        <f t="shared" si="38"/>
        <v>26233100</v>
      </c>
      <c r="C1271" s="9" t="str">
        <f>VLOOKUP(B1271,COA!A:B,2,FALSE)</f>
        <v>Deferred Revenue - CIAC FIT</v>
      </c>
      <c r="D1271" s="338" t="str">
        <f t="shared" si="39"/>
        <v>C2532</v>
      </c>
      <c r="E1271" s="338" t="s">
        <v>6886</v>
      </c>
      <c r="G1271" s="338">
        <v>0</v>
      </c>
      <c r="H1271" s="204" t="s">
        <v>77</v>
      </c>
      <c r="I1271" s="204" t="s">
        <v>7425</v>
      </c>
    </row>
    <row r="1272" spans="1:9" x14ac:dyDescent="0.25">
      <c r="A1272" s="204" t="s">
        <v>1323</v>
      </c>
      <c r="B1272" s="9" t="str">
        <f t="shared" si="38"/>
        <v>26233200</v>
      </c>
      <c r="C1272" s="9" t="str">
        <f>VLOOKUP(B1272,COA!A:B,2,FALSE)</f>
        <v>Deferred Revenue - CIAC SIT</v>
      </c>
      <c r="D1272" s="338" t="str">
        <f t="shared" si="39"/>
        <v>C2532</v>
      </c>
      <c r="E1272" s="338" t="s">
        <v>6886</v>
      </c>
      <c r="G1272" s="338">
        <v>0</v>
      </c>
      <c r="H1272" s="204" t="s">
        <v>77</v>
      </c>
      <c r="I1272" s="204" t="s">
        <v>7425</v>
      </c>
    </row>
    <row r="1273" spans="1:9" x14ac:dyDescent="0.25">
      <c r="A1273" s="204" t="s">
        <v>1324</v>
      </c>
      <c r="B1273" s="9" t="str">
        <f t="shared" si="38"/>
        <v>26233300</v>
      </c>
      <c r="C1273" s="9" t="str">
        <f>VLOOKUP(B1273,COA!A:B,2,FALSE)</f>
        <v>Deferred Revenue - CAC</v>
      </c>
      <c r="D1273" s="338" t="str">
        <f t="shared" si="39"/>
        <v>C2532</v>
      </c>
      <c r="E1273" s="338" t="s">
        <v>6886</v>
      </c>
      <c r="G1273" s="338">
        <v>0</v>
      </c>
      <c r="H1273" s="204" t="s">
        <v>77</v>
      </c>
      <c r="I1273" s="204" t="s">
        <v>7425</v>
      </c>
    </row>
    <row r="1274" spans="1:9" x14ac:dyDescent="0.25">
      <c r="A1274" s="204" t="s">
        <v>1325</v>
      </c>
      <c r="B1274" s="9" t="str">
        <f t="shared" si="38"/>
        <v>26233800</v>
      </c>
      <c r="C1274" s="9" t="str">
        <f>VLOOKUP(B1274,COA!A:B,2,FALSE)</f>
        <v>Deferred Revenue - Tax Gross-Up AIC</v>
      </c>
      <c r="D1274" s="338" t="str">
        <f t="shared" si="39"/>
        <v>C2532</v>
      </c>
      <c r="E1274" s="338" t="s">
        <v>6886</v>
      </c>
      <c r="G1274" s="338">
        <v>0</v>
      </c>
      <c r="H1274" s="204" t="s">
        <v>77</v>
      </c>
      <c r="I1274" s="204" t="s">
        <v>7425</v>
      </c>
    </row>
    <row r="1275" spans="1:9" x14ac:dyDescent="0.25">
      <c r="A1275" s="204" t="s">
        <v>1326</v>
      </c>
      <c r="B1275" s="9" t="str">
        <f t="shared" si="38"/>
        <v>26233900</v>
      </c>
      <c r="C1275" s="9" t="str">
        <f>VLOOKUP(B1275,COA!A:B,2,FALSE)</f>
        <v>Deferred Revenue - Tax Gross-Up AIC FIT/SIT</v>
      </c>
      <c r="D1275" s="338" t="str">
        <f t="shared" si="39"/>
        <v>C2532</v>
      </c>
      <c r="E1275" s="338" t="s">
        <v>6886</v>
      </c>
      <c r="G1275" s="338">
        <v>0</v>
      </c>
      <c r="H1275" s="204" t="s">
        <v>77</v>
      </c>
      <c r="I1275" s="204" t="s">
        <v>7425</v>
      </c>
    </row>
    <row r="1276" spans="1:9" x14ac:dyDescent="0.25">
      <c r="A1276" s="204" t="s">
        <v>1327</v>
      </c>
      <c r="B1276" s="9" t="str">
        <f t="shared" si="38"/>
        <v>26234000</v>
      </c>
      <c r="C1276" s="9" t="str">
        <f>VLOOKUP(B1276,COA!A:B,2,FALSE)</f>
        <v>Deferred Revenue - Tax Gross-Up AIC SIT</v>
      </c>
      <c r="D1276" s="338" t="str">
        <f t="shared" si="39"/>
        <v>C2532</v>
      </c>
      <c r="E1276" s="338" t="s">
        <v>6886</v>
      </c>
      <c r="G1276" s="338">
        <v>0</v>
      </c>
      <c r="H1276" s="204" t="s">
        <v>77</v>
      </c>
      <c r="I1276" s="204" t="s">
        <v>7425</v>
      </c>
    </row>
    <row r="1277" spans="1:9" x14ac:dyDescent="0.25">
      <c r="A1277" s="204" t="s">
        <v>1328</v>
      </c>
      <c r="B1277" s="9" t="str">
        <f t="shared" si="38"/>
        <v>26237100</v>
      </c>
      <c r="C1277" s="9" t="str">
        <f>VLOOKUP(B1277,COA!A:B,2,FALSE)</f>
        <v>Deferred Revenue</v>
      </c>
      <c r="D1277" s="338" t="str">
        <f t="shared" si="39"/>
        <v>C2532</v>
      </c>
      <c r="E1277" s="338" t="s">
        <v>6886</v>
      </c>
      <c r="G1277" s="338">
        <v>0</v>
      </c>
      <c r="H1277" s="204" t="s">
        <v>77</v>
      </c>
      <c r="I1277" s="204" t="s">
        <v>7425</v>
      </c>
    </row>
    <row r="1278" spans="1:9" x14ac:dyDescent="0.25">
      <c r="A1278" s="204" t="s">
        <v>1329</v>
      </c>
      <c r="B1278" s="9" t="str">
        <f t="shared" si="38"/>
        <v>26237500</v>
      </c>
      <c r="C1278" s="9" t="str">
        <f>VLOOKUP(B1278,COA!A:B,2,FALSE)</f>
        <v>MPWMD Surcharge Collected for Others</v>
      </c>
      <c r="D1278" s="338" t="str">
        <f t="shared" si="39"/>
        <v>C2532</v>
      </c>
      <c r="E1278" s="338" t="s">
        <v>6886</v>
      </c>
      <c r="G1278" s="338">
        <v>0</v>
      </c>
      <c r="H1278" s="204" t="s">
        <v>77</v>
      </c>
      <c r="I1278" s="204" t="s">
        <v>7425</v>
      </c>
    </row>
    <row r="1279" spans="1:9" x14ac:dyDescent="0.25">
      <c r="A1279" s="204" t="s">
        <v>1330</v>
      </c>
      <c r="B1279" s="9" t="str">
        <f t="shared" ref="B1279:B1340" si="40">RIGHT(A1279,8)</f>
        <v>26281100</v>
      </c>
      <c r="C1279" s="9" t="str">
        <f>VLOOKUP(B1279,COA!A:B,2,FALSE)</f>
        <v>Accrued Defined Contribution SERP</v>
      </c>
      <c r="D1279" s="338" t="str">
        <f t="shared" si="39"/>
        <v>C2532</v>
      </c>
      <c r="E1279" s="338" t="s">
        <v>6886</v>
      </c>
      <c r="G1279" s="338">
        <v>0</v>
      </c>
      <c r="H1279" s="204" t="s">
        <v>77</v>
      </c>
      <c r="I1279" s="204" t="s">
        <v>7425</v>
      </c>
    </row>
    <row r="1280" spans="1:9" x14ac:dyDescent="0.25">
      <c r="A1280" s="204" t="s">
        <v>1331</v>
      </c>
      <c r="B1280" s="9" t="str">
        <f t="shared" si="40"/>
        <v>26281150</v>
      </c>
      <c r="C1280" s="9" t="str">
        <f>VLOOKUP(B1280,COA!A:B,2,FALSE)</f>
        <v>Accrued NOAA Settlement</v>
      </c>
      <c r="D1280" s="338" t="str">
        <f t="shared" si="39"/>
        <v>C2532</v>
      </c>
      <c r="E1280" s="338" t="s">
        <v>6886</v>
      </c>
      <c r="G1280" s="338">
        <v>0</v>
      </c>
      <c r="H1280" s="204" t="s">
        <v>77</v>
      </c>
      <c r="I1280" s="204" t="s">
        <v>7425</v>
      </c>
    </row>
    <row r="1281" spans="1:9" x14ac:dyDescent="0.25">
      <c r="A1281" s="204" t="s">
        <v>1332</v>
      </c>
      <c r="B1281" s="9" t="str">
        <f t="shared" si="40"/>
        <v>26281200</v>
      </c>
      <c r="C1281" s="9" t="str">
        <f>VLOOKUP(B1281,COA!A:B,2,FALSE)</f>
        <v>Accrued 401k Restoration</v>
      </c>
      <c r="D1281" s="338" t="str">
        <f t="shared" si="39"/>
        <v>C2532</v>
      </c>
      <c r="E1281" s="338" t="s">
        <v>6886</v>
      </c>
      <c r="G1281" s="338">
        <v>0</v>
      </c>
      <c r="H1281" s="204" t="s">
        <v>77</v>
      </c>
      <c r="I1281" s="204" t="s">
        <v>7425</v>
      </c>
    </row>
    <row r="1282" spans="1:9" x14ac:dyDescent="0.25">
      <c r="A1282" s="204" t="s">
        <v>1333</v>
      </c>
      <c r="B1282" s="9" t="str">
        <f t="shared" si="40"/>
        <v>26281250</v>
      </c>
      <c r="C1282" s="9" t="str">
        <f>VLOOKUP(B1282,COA!A:B,2,FALSE)</f>
        <v>Accrued Asset Retirement Obligation Liability</v>
      </c>
      <c r="D1282" s="338" t="str">
        <f t="shared" si="39"/>
        <v>C2532</v>
      </c>
      <c r="E1282" s="338" t="s">
        <v>6886</v>
      </c>
      <c r="G1282" s="338">
        <v>0</v>
      </c>
      <c r="H1282" s="204" t="s">
        <v>77</v>
      </c>
      <c r="I1282" s="204" t="s">
        <v>7425</v>
      </c>
    </row>
    <row r="1283" spans="1:9" x14ac:dyDescent="0.25">
      <c r="A1283" s="204" t="s">
        <v>1334</v>
      </c>
      <c r="B1283" s="9" t="str">
        <f t="shared" si="40"/>
        <v>26281300</v>
      </c>
      <c r="C1283" s="9" t="str">
        <f>VLOOKUP(B1283,COA!A:B,2,FALSE)</f>
        <v>Deferred FAS 112 Costs</v>
      </c>
      <c r="D1283" s="338" t="str">
        <f t="shared" si="39"/>
        <v>C2532</v>
      </c>
      <c r="E1283" s="338" t="s">
        <v>6886</v>
      </c>
      <c r="G1283" s="338">
        <v>0</v>
      </c>
      <c r="H1283" s="204" t="s">
        <v>77</v>
      </c>
      <c r="I1283" s="204" t="s">
        <v>7425</v>
      </c>
    </row>
    <row r="1284" spans="1:9" x14ac:dyDescent="0.25">
      <c r="A1284" s="204" t="s">
        <v>1335</v>
      </c>
      <c r="B1284" s="9" t="str">
        <f t="shared" si="40"/>
        <v>26281350</v>
      </c>
      <c r="C1284" s="9" t="str">
        <f>VLOOKUP(B1284,COA!A:B,2,FALSE)</f>
        <v>Swap Contract FV Liability</v>
      </c>
      <c r="D1284" s="338" t="str">
        <f t="shared" si="39"/>
        <v>C2532</v>
      </c>
      <c r="E1284" s="338" t="s">
        <v>6886</v>
      </c>
      <c r="G1284" s="338">
        <v>0</v>
      </c>
      <c r="H1284" s="204" t="s">
        <v>77</v>
      </c>
      <c r="I1284" s="204" t="s">
        <v>7425</v>
      </c>
    </row>
    <row r="1285" spans="1:9" x14ac:dyDescent="0.25">
      <c r="A1285" s="204" t="s">
        <v>1336</v>
      </c>
      <c r="B1285" s="9" t="str">
        <f t="shared" si="40"/>
        <v>26281400</v>
      </c>
      <c r="C1285" s="9" t="str">
        <f>VLOOKUP(B1285,COA!A:B,2,FALSE)</f>
        <v>Extension Deposits in Suspense</v>
      </c>
      <c r="D1285" s="338" t="str">
        <f t="shared" si="39"/>
        <v>C2532</v>
      </c>
      <c r="E1285" s="338" t="s">
        <v>6886</v>
      </c>
      <c r="G1285" s="338">
        <v>0</v>
      </c>
      <c r="H1285" s="204" t="s">
        <v>77</v>
      </c>
      <c r="I1285" s="204" t="s">
        <v>7425</v>
      </c>
    </row>
    <row r="1286" spans="1:9" x14ac:dyDescent="0.25">
      <c r="A1286" s="204" t="s">
        <v>1337</v>
      </c>
      <c r="B1286" s="9" t="str">
        <f t="shared" si="40"/>
        <v>26281450</v>
      </c>
      <c r="C1286" s="9" t="str">
        <f>VLOOKUP(B1286,COA!A:B,2,FALSE)</f>
        <v>Advance Pay &amp; Deposits</v>
      </c>
      <c r="D1286" s="338" t="str">
        <f t="shared" si="39"/>
        <v>C2532</v>
      </c>
      <c r="E1286" s="338" t="s">
        <v>6886</v>
      </c>
      <c r="G1286" s="338">
        <v>0</v>
      </c>
      <c r="H1286" s="204" t="s">
        <v>77</v>
      </c>
      <c r="I1286" s="204" t="s">
        <v>7425</v>
      </c>
    </row>
    <row r="1287" spans="1:9" x14ac:dyDescent="0.25">
      <c r="A1287" s="204" t="s">
        <v>1338</v>
      </c>
      <c r="B1287" s="9" t="str">
        <f t="shared" si="40"/>
        <v>26281500</v>
      </c>
      <c r="C1287" s="9" t="str">
        <f>VLOOKUP(B1287,COA!A:B,2,FALSE)</f>
        <v>Accrued Dividend Equivalents</v>
      </c>
      <c r="D1287" s="338" t="str">
        <f t="shared" si="39"/>
        <v>C2532</v>
      </c>
      <c r="E1287" s="338" t="s">
        <v>6886</v>
      </c>
      <c r="G1287" s="338">
        <v>0</v>
      </c>
      <c r="H1287" s="204" t="s">
        <v>77</v>
      </c>
      <c r="I1287" s="204" t="s">
        <v>7425</v>
      </c>
    </row>
    <row r="1288" spans="1:9" x14ac:dyDescent="0.25">
      <c r="A1288" s="204" t="s">
        <v>1339</v>
      </c>
      <c r="B1288" s="9" t="str">
        <f t="shared" si="40"/>
        <v>26281600</v>
      </c>
      <c r="C1288" s="9" t="str">
        <f>VLOOKUP(B1288,COA!A:B,2,FALSE)</f>
        <v>Property Sales in Suspense</v>
      </c>
      <c r="D1288" s="338" t="str">
        <f t="shared" si="39"/>
        <v>C2532</v>
      </c>
      <c r="E1288" s="338" t="s">
        <v>6886</v>
      </c>
      <c r="G1288" s="338">
        <v>0</v>
      </c>
      <c r="H1288" s="204" t="s">
        <v>77</v>
      </c>
      <c r="I1288" s="204" t="s">
        <v>7425</v>
      </c>
    </row>
    <row r="1289" spans="1:9" x14ac:dyDescent="0.25">
      <c r="A1289" s="204" t="s">
        <v>1340</v>
      </c>
      <c r="B1289" s="9" t="str">
        <f t="shared" si="40"/>
        <v>26281700</v>
      </c>
      <c r="C1289" s="9" t="str">
        <f>VLOOKUP(B1289,COA!A:B,2,FALSE)</f>
        <v>Deferred Compensation (prior 1/1/08)</v>
      </c>
      <c r="D1289" s="338" t="str">
        <f t="shared" si="39"/>
        <v>C2532</v>
      </c>
      <c r="E1289" s="338" t="s">
        <v>6886</v>
      </c>
      <c r="G1289" s="338">
        <v>0</v>
      </c>
      <c r="H1289" s="204" t="s">
        <v>77</v>
      </c>
      <c r="I1289" s="204" t="s">
        <v>7425</v>
      </c>
    </row>
    <row r="1290" spans="1:9" x14ac:dyDescent="0.25">
      <c r="A1290" s="204" t="s">
        <v>1341</v>
      </c>
      <c r="B1290" s="9" t="str">
        <f t="shared" si="40"/>
        <v>26281800</v>
      </c>
      <c r="C1290" s="9" t="str">
        <f>VLOOKUP(B1290,COA!A:B,2,FALSE)</f>
        <v>Non-Qualified Savings &amp; Def Compensation</v>
      </c>
      <c r="D1290" s="338" t="str">
        <f t="shared" si="39"/>
        <v>C2532</v>
      </c>
      <c r="E1290" s="338" t="s">
        <v>6886</v>
      </c>
      <c r="G1290" s="338">
        <v>0</v>
      </c>
      <c r="H1290" s="204" t="s">
        <v>77</v>
      </c>
      <c r="I1290" s="204" t="s">
        <v>7425</v>
      </c>
    </row>
    <row r="1291" spans="1:9" x14ac:dyDescent="0.25">
      <c r="A1291" s="204" t="s">
        <v>1342</v>
      </c>
      <c r="B1291" s="9" t="str">
        <f t="shared" si="40"/>
        <v>26281900</v>
      </c>
      <c r="C1291" s="9" t="str">
        <f>VLOOKUP(B1291,COA!A:B,2,FALSE)</f>
        <v>Accrued Sick Bank</v>
      </c>
      <c r="D1291" s="338" t="str">
        <f t="shared" ref="D1291:D1354" si="41">+I1291</f>
        <v>C2532</v>
      </c>
      <c r="E1291" s="338" t="s">
        <v>6886</v>
      </c>
      <c r="G1291" s="338">
        <v>0</v>
      </c>
      <c r="H1291" s="204" t="s">
        <v>77</v>
      </c>
      <c r="I1291" s="204" t="s">
        <v>7425</v>
      </c>
    </row>
    <row r="1292" spans="1:9" x14ac:dyDescent="0.25">
      <c r="A1292" s="204" t="s">
        <v>1343</v>
      </c>
      <c r="B1292" s="9" t="str">
        <f t="shared" si="40"/>
        <v>26281997</v>
      </c>
      <c r="C1292" s="9" t="str">
        <f>VLOOKUP(B1292,COA!A:B,2,FALSE)</f>
        <v>Surcharge Clearing- WV B&amp;O Tax (CIS)</v>
      </c>
      <c r="D1292" s="338" t="str">
        <f t="shared" si="41"/>
        <v>C2532</v>
      </c>
      <c r="E1292" s="338" t="s">
        <v>6886</v>
      </c>
      <c r="G1292" s="338">
        <v>0</v>
      </c>
      <c r="H1292" s="204" t="s">
        <v>77</v>
      </c>
      <c r="I1292" s="204" t="s">
        <v>7425</v>
      </c>
    </row>
    <row r="1293" spans="1:9" x14ac:dyDescent="0.25">
      <c r="A1293" s="204" t="s">
        <v>1344</v>
      </c>
      <c r="B1293" s="9" t="str">
        <f t="shared" si="40"/>
        <v>26281998</v>
      </c>
      <c r="C1293" s="9" t="str">
        <f>VLOOKUP(B1293,COA!A:B,2,FALSE)</f>
        <v>DCN-Deferred Credit Other - Not Tax Sensitive</v>
      </c>
      <c r="D1293" s="338" t="str">
        <f t="shared" si="41"/>
        <v>C2532</v>
      </c>
      <c r="E1293" s="338" t="s">
        <v>6886</v>
      </c>
      <c r="G1293" s="338">
        <v>0</v>
      </c>
      <c r="H1293" s="204" t="s">
        <v>77</v>
      </c>
      <c r="I1293" s="204" t="s">
        <v>7425</v>
      </c>
    </row>
    <row r="1294" spans="1:9" x14ac:dyDescent="0.25">
      <c r="A1294" s="204" t="s">
        <v>1345</v>
      </c>
      <c r="B1294" s="9" t="str">
        <f t="shared" si="40"/>
        <v>26281999</v>
      </c>
      <c r="C1294" s="9" t="str">
        <f>VLOOKUP(B1294,COA!A:B,2,FALSE)</f>
        <v>Accrued Long Term Liability - Other</v>
      </c>
      <c r="D1294" s="338" t="str">
        <f t="shared" si="41"/>
        <v>C2532</v>
      </c>
      <c r="E1294" s="338" t="s">
        <v>6886</v>
      </c>
      <c r="G1294" s="338">
        <v>0</v>
      </c>
      <c r="H1294" s="204" t="s">
        <v>77</v>
      </c>
      <c r="I1294" s="204" t="s">
        <v>7425</v>
      </c>
    </row>
    <row r="1295" spans="1:9" x14ac:dyDescent="0.25">
      <c r="A1295" s="204" t="s">
        <v>1346</v>
      </c>
      <c r="B1295" s="9" t="str">
        <f t="shared" si="40"/>
        <v>26282000</v>
      </c>
      <c r="C1295" s="9" t="str">
        <f>VLOOKUP(B1295,COA!A:B,2,FALSE)</f>
        <v>Accrued Long Term Liability - Other Interco</v>
      </c>
      <c r="D1295" s="338" t="str">
        <f t="shared" si="41"/>
        <v>C2532</v>
      </c>
      <c r="E1295" s="338" t="s">
        <v>6886</v>
      </c>
      <c r="G1295" s="338">
        <v>0</v>
      </c>
      <c r="H1295" s="204" t="s">
        <v>77</v>
      </c>
      <c r="I1295" s="204" t="s">
        <v>7425</v>
      </c>
    </row>
    <row r="1296" spans="1:9" x14ac:dyDescent="0.25">
      <c r="A1296" s="204" t="s">
        <v>1347</v>
      </c>
      <c r="B1296" s="9" t="str">
        <f t="shared" si="40"/>
        <v>26300000</v>
      </c>
      <c r="C1296" s="9" t="str">
        <f>VLOOKUP(B1296,COA!A:B,2,FALSE)</f>
        <v>Operating Lease Long-Term Liability</v>
      </c>
      <c r="D1296" s="338" t="str">
        <f t="shared" si="41"/>
        <v>C224</v>
      </c>
      <c r="E1296" s="338" t="s">
        <v>6886</v>
      </c>
      <c r="G1296" s="338">
        <v>0</v>
      </c>
      <c r="H1296" s="204" t="s">
        <v>77</v>
      </c>
      <c r="I1296" s="204" t="s">
        <v>7408</v>
      </c>
    </row>
    <row r="1297" spans="1:9" x14ac:dyDescent="0.25">
      <c r="A1297" s="204" t="s">
        <v>1348</v>
      </c>
      <c r="B1297" s="9" t="str">
        <f t="shared" si="40"/>
        <v>26400000</v>
      </c>
      <c r="C1297" s="9" t="str">
        <f>VLOOKUP(B1297,COA!A:B,2,FALSE)</f>
        <v>Misc Operating Reserve</v>
      </c>
      <c r="D1297" s="338" t="str">
        <f t="shared" si="41"/>
        <v>C2532</v>
      </c>
      <c r="E1297" s="338" t="s">
        <v>6886</v>
      </c>
      <c r="G1297" s="338">
        <v>0</v>
      </c>
      <c r="H1297" s="204" t="s">
        <v>77</v>
      </c>
      <c r="I1297" s="204" t="s">
        <v>7425</v>
      </c>
    </row>
    <row r="1298" spans="1:9" x14ac:dyDescent="0.25">
      <c r="A1298" s="204" t="s">
        <v>1349</v>
      </c>
      <c r="B1298" s="9" t="str">
        <f t="shared" si="40"/>
        <v>26580000</v>
      </c>
      <c r="C1298" s="9" t="str">
        <f>VLOOKUP(B1298,COA!A:B,2,FALSE)</f>
        <v>FIN 48 Reserve - Federal</v>
      </c>
      <c r="D1298" s="338" t="str">
        <f t="shared" si="41"/>
        <v>C265</v>
      </c>
      <c r="E1298" s="338" t="s">
        <v>6886</v>
      </c>
      <c r="G1298" s="338">
        <v>0</v>
      </c>
      <c r="H1298" s="204" t="s">
        <v>77</v>
      </c>
      <c r="I1298" s="204" t="s">
        <v>7426</v>
      </c>
    </row>
    <row r="1299" spans="1:9" x14ac:dyDescent="0.25">
      <c r="A1299" s="204" t="s">
        <v>1350</v>
      </c>
      <c r="B1299" s="9" t="str">
        <f t="shared" si="40"/>
        <v>26580100</v>
      </c>
      <c r="C1299" s="9" t="str">
        <f>VLOOKUP(B1299,COA!A:B,2,FALSE)</f>
        <v>FIN 48 Reserve Penalty &amp; Interest - Federal</v>
      </c>
      <c r="D1299" s="338" t="str">
        <f t="shared" si="41"/>
        <v>C265</v>
      </c>
      <c r="E1299" s="338" t="s">
        <v>6886</v>
      </c>
      <c r="G1299" s="338">
        <v>0</v>
      </c>
      <c r="H1299" s="204" t="s">
        <v>77</v>
      </c>
      <c r="I1299" s="204" t="s">
        <v>7426</v>
      </c>
    </row>
    <row r="1300" spans="1:9" x14ac:dyDescent="0.25">
      <c r="A1300" s="204" t="s">
        <v>1351</v>
      </c>
      <c r="B1300" s="9" t="str">
        <f t="shared" si="40"/>
        <v>26581000</v>
      </c>
      <c r="C1300" s="9" t="str">
        <f>VLOOKUP(B1300,COA!A:B,2,FALSE)</f>
        <v>FIN 48 Reserve - State</v>
      </c>
      <c r="D1300" s="338" t="str">
        <f t="shared" si="41"/>
        <v>C265</v>
      </c>
      <c r="E1300" s="338" t="s">
        <v>6886</v>
      </c>
      <c r="G1300" s="338">
        <v>0</v>
      </c>
      <c r="H1300" s="204" t="s">
        <v>77</v>
      </c>
      <c r="I1300" s="204" t="s">
        <v>7426</v>
      </c>
    </row>
    <row r="1301" spans="1:9" x14ac:dyDescent="0.25">
      <c r="A1301" s="204" t="s">
        <v>1352</v>
      </c>
      <c r="B1301" s="9" t="str">
        <f t="shared" si="40"/>
        <v>26581100</v>
      </c>
      <c r="C1301" s="9" t="str">
        <f>VLOOKUP(B1301,COA!A:B,2,FALSE)</f>
        <v>FIN 48 Reserve Penalty &amp; Interest - State</v>
      </c>
      <c r="D1301" s="338" t="str">
        <f t="shared" si="41"/>
        <v>C265</v>
      </c>
      <c r="E1301" s="338" t="s">
        <v>6886</v>
      </c>
      <c r="G1301" s="338">
        <v>0</v>
      </c>
      <c r="H1301" s="204" t="s">
        <v>77</v>
      </c>
      <c r="I1301" s="204" t="s">
        <v>7426</v>
      </c>
    </row>
    <row r="1302" spans="1:9" x14ac:dyDescent="0.25">
      <c r="A1302" s="204" t="s">
        <v>1353</v>
      </c>
      <c r="B1302" s="9" t="str">
        <f t="shared" si="40"/>
        <v>27111000</v>
      </c>
      <c r="C1302" s="9" t="str">
        <f>VLOOKUP(B1302,COA!A:B,2,FALSE)</f>
        <v>CIAC-Non Taxable -  Mains</v>
      </c>
      <c r="D1302" s="338" t="str">
        <f t="shared" si="41"/>
        <v>C271</v>
      </c>
      <c r="E1302" s="338" t="s">
        <v>6886</v>
      </c>
      <c r="G1302" s="338">
        <v>0</v>
      </c>
      <c r="H1302" s="204" t="s">
        <v>77</v>
      </c>
      <c r="I1302" s="204" t="s">
        <v>7427</v>
      </c>
    </row>
    <row r="1303" spans="1:9" x14ac:dyDescent="0.25">
      <c r="A1303" s="204" t="s">
        <v>1354</v>
      </c>
      <c r="B1303" s="9" t="str">
        <f t="shared" si="40"/>
        <v>27112000</v>
      </c>
      <c r="C1303" s="9" t="str">
        <f>VLOOKUP(B1303,COA!A:B,2,FALSE)</f>
        <v>CIAC-Non Taxable -  Ext Dep</v>
      </c>
      <c r="D1303" s="338" t="str">
        <f t="shared" si="41"/>
        <v>C271</v>
      </c>
      <c r="E1303" s="338" t="s">
        <v>6886</v>
      </c>
      <c r="G1303" s="338">
        <v>0</v>
      </c>
      <c r="H1303" s="204" t="s">
        <v>77</v>
      </c>
      <c r="I1303" s="204" t="s">
        <v>7427</v>
      </c>
    </row>
    <row r="1304" spans="1:9" x14ac:dyDescent="0.25">
      <c r="A1304" s="204" t="s">
        <v>1355</v>
      </c>
      <c r="B1304" s="9" t="str">
        <f t="shared" si="40"/>
        <v>27113000</v>
      </c>
      <c r="C1304" s="9" t="str">
        <f>VLOOKUP(B1304,COA!A:B,2,FALSE)</f>
        <v>CIAC-Non Taxable -  Services</v>
      </c>
      <c r="D1304" s="338" t="str">
        <f t="shared" si="41"/>
        <v>C271</v>
      </c>
      <c r="E1304" s="338" t="s">
        <v>6886</v>
      </c>
      <c r="G1304" s="338">
        <v>0</v>
      </c>
      <c r="H1304" s="204" t="s">
        <v>77</v>
      </c>
      <c r="I1304" s="204" t="s">
        <v>7427</v>
      </c>
    </row>
    <row r="1305" spans="1:9" x14ac:dyDescent="0.25">
      <c r="A1305" s="204" t="s">
        <v>1356</v>
      </c>
      <c r="B1305" s="9" t="str">
        <f t="shared" si="40"/>
        <v>27114000</v>
      </c>
      <c r="C1305" s="9" t="str">
        <f>VLOOKUP(B1305,COA!A:B,2,FALSE)</f>
        <v>CIAC-Non Taxable -  Meters</v>
      </c>
      <c r="D1305" s="338" t="str">
        <f t="shared" si="41"/>
        <v>C271</v>
      </c>
      <c r="E1305" s="338" t="s">
        <v>6886</v>
      </c>
      <c r="G1305" s="338">
        <v>0</v>
      </c>
      <c r="H1305" s="204" t="s">
        <v>77</v>
      </c>
      <c r="I1305" s="204" t="s">
        <v>7427</v>
      </c>
    </row>
    <row r="1306" spans="1:9" x14ac:dyDescent="0.25">
      <c r="A1306" s="204" t="s">
        <v>1357</v>
      </c>
      <c r="B1306" s="9" t="str">
        <f t="shared" si="40"/>
        <v>27115000</v>
      </c>
      <c r="C1306" s="9" t="str">
        <f>VLOOKUP(B1306,COA!A:B,2,FALSE)</f>
        <v>CIAC-Non Taxable -  Hydrants</v>
      </c>
      <c r="D1306" s="338" t="str">
        <f t="shared" si="41"/>
        <v>C271</v>
      </c>
      <c r="E1306" s="338" t="s">
        <v>6886</v>
      </c>
      <c r="G1306" s="338">
        <v>0</v>
      </c>
      <c r="H1306" s="204" t="s">
        <v>77</v>
      </c>
      <c r="I1306" s="204" t="s">
        <v>7427</v>
      </c>
    </row>
    <row r="1307" spans="1:9" x14ac:dyDescent="0.25">
      <c r="A1307" s="204" t="s">
        <v>1358</v>
      </c>
      <c r="B1307" s="9" t="str">
        <f t="shared" si="40"/>
        <v>27116000</v>
      </c>
      <c r="C1307" s="9" t="str">
        <f>VLOOKUP(B1307,COA!A:B,2,FALSE)</f>
        <v>CIAC-Non Taxable -  Other</v>
      </c>
      <c r="D1307" s="338" t="str">
        <f t="shared" si="41"/>
        <v>C271</v>
      </c>
      <c r="E1307" s="338" t="s">
        <v>6886</v>
      </c>
      <c r="G1307" s="338">
        <v>0</v>
      </c>
      <c r="H1307" s="204" t="s">
        <v>77</v>
      </c>
      <c r="I1307" s="204" t="s">
        <v>7427</v>
      </c>
    </row>
    <row r="1308" spans="1:9" x14ac:dyDescent="0.25">
      <c r="A1308" s="204" t="s">
        <v>1359</v>
      </c>
      <c r="B1308" s="9" t="str">
        <f t="shared" si="40"/>
        <v>27116001</v>
      </c>
      <c r="C1308" s="9" t="str">
        <f>VLOOKUP(B1308,COA!A:B,2,FALSE)</f>
        <v>CIAC-Non Taxable -  Other Spec Fac Fee</v>
      </c>
      <c r="D1308" s="338" t="str">
        <f t="shared" si="41"/>
        <v>C271</v>
      </c>
      <c r="E1308" s="338" t="s">
        <v>6886</v>
      </c>
      <c r="G1308" s="338">
        <v>0</v>
      </c>
      <c r="H1308" s="204" t="s">
        <v>77</v>
      </c>
      <c r="I1308" s="204" t="s">
        <v>7427</v>
      </c>
    </row>
    <row r="1309" spans="1:9" x14ac:dyDescent="0.25">
      <c r="A1309" s="204" t="s">
        <v>1360</v>
      </c>
      <c r="B1309" s="9" t="str">
        <f t="shared" si="40"/>
        <v>27116002</v>
      </c>
      <c r="C1309" s="9" t="str">
        <f>VLOOKUP(B1309,COA!A:B,2,FALSE)</f>
        <v>CIAC-Non Taxable -  Other Terra Cotta</v>
      </c>
      <c r="D1309" s="338" t="str">
        <f t="shared" si="41"/>
        <v>C271</v>
      </c>
      <c r="E1309" s="338" t="s">
        <v>6886</v>
      </c>
      <c r="G1309" s="338">
        <v>0</v>
      </c>
      <c r="H1309" s="204" t="s">
        <v>77</v>
      </c>
      <c r="I1309" s="204" t="s">
        <v>7427</v>
      </c>
    </row>
    <row r="1310" spans="1:9" x14ac:dyDescent="0.25">
      <c r="A1310" s="204" t="s">
        <v>1361</v>
      </c>
      <c r="B1310" s="9" t="str">
        <f t="shared" si="40"/>
        <v>27116010</v>
      </c>
      <c r="C1310" s="9" t="str">
        <f>VLOOKUP(B1310,COA!A:B,2,FALSE)</f>
        <v>CIAC-Non Taxable -  Other Gov Gmt Contamn Proceed</v>
      </c>
      <c r="D1310" s="338" t="str">
        <f t="shared" si="41"/>
        <v>C271</v>
      </c>
      <c r="E1310" s="338" t="s">
        <v>6886</v>
      </c>
      <c r="G1310" s="338">
        <v>0</v>
      </c>
      <c r="H1310" s="204" t="s">
        <v>77</v>
      </c>
      <c r="I1310" s="204" t="s">
        <v>7427</v>
      </c>
    </row>
    <row r="1311" spans="1:9" x14ac:dyDescent="0.25">
      <c r="A1311" s="204" t="s">
        <v>1362</v>
      </c>
      <c r="B1311" s="9" t="str">
        <f t="shared" si="40"/>
        <v>27116020</v>
      </c>
      <c r="C1311" s="9" t="str">
        <f>VLOOKUP(B1311,COA!A:B,2,FALSE)</f>
        <v>CIAC-Non Taxable -  Other Gov Loan Contamn Proceed</v>
      </c>
      <c r="D1311" s="338" t="str">
        <f t="shared" si="41"/>
        <v>C271</v>
      </c>
      <c r="E1311" s="338" t="s">
        <v>6886</v>
      </c>
      <c r="G1311" s="338">
        <v>0</v>
      </c>
      <c r="H1311" s="204" t="s">
        <v>77</v>
      </c>
      <c r="I1311" s="204" t="s">
        <v>7427</v>
      </c>
    </row>
    <row r="1312" spans="1:9" x14ac:dyDescent="0.25">
      <c r="A1312" s="204" t="s">
        <v>1363</v>
      </c>
      <c r="B1312" s="9" t="str">
        <f t="shared" si="40"/>
        <v>27116030</v>
      </c>
      <c r="C1312" s="9" t="str">
        <f>VLOOKUP(B1312,COA!A:B,2,FALSE)</f>
        <v>CIAC-Non Taxable -  Other Damg Awd Contamn Proceed</v>
      </c>
      <c r="D1312" s="338" t="str">
        <f t="shared" si="41"/>
        <v>C271</v>
      </c>
      <c r="E1312" s="338" t="s">
        <v>6886</v>
      </c>
      <c r="G1312" s="338">
        <v>0</v>
      </c>
      <c r="H1312" s="204" t="s">
        <v>77</v>
      </c>
      <c r="I1312" s="204" t="s">
        <v>7427</v>
      </c>
    </row>
    <row r="1313" spans="1:9" x14ac:dyDescent="0.25">
      <c r="A1313" s="204" t="s">
        <v>1364</v>
      </c>
      <c r="B1313" s="9" t="str">
        <f t="shared" si="40"/>
        <v>27116040</v>
      </c>
      <c r="C1313" s="9" t="str">
        <f>VLOOKUP(B1313,COA!A:B,2,FALSE)</f>
        <v>CIAC-Non Taxable -  Other Settlmnt Contamn Proceed</v>
      </c>
      <c r="D1313" s="338" t="str">
        <f t="shared" si="41"/>
        <v>C271</v>
      </c>
      <c r="E1313" s="338" t="s">
        <v>6886</v>
      </c>
      <c r="G1313" s="338">
        <v>0</v>
      </c>
      <c r="H1313" s="204" t="s">
        <v>77</v>
      </c>
      <c r="I1313" s="204" t="s">
        <v>7427</v>
      </c>
    </row>
    <row r="1314" spans="1:9" x14ac:dyDescent="0.25">
      <c r="A1314" s="204" t="s">
        <v>1365</v>
      </c>
      <c r="B1314" s="9" t="str">
        <f t="shared" si="40"/>
        <v>27116051</v>
      </c>
      <c r="C1314" s="9" t="str">
        <f>VLOOKUP(B1314,COA!A:B,2,FALSE)</f>
        <v>CIAC-Non Taxable -  Other Gvt Ord Contmn Pvt Funds</v>
      </c>
      <c r="D1314" s="338" t="str">
        <f t="shared" si="41"/>
        <v>C271</v>
      </c>
      <c r="E1314" s="338" t="s">
        <v>6886</v>
      </c>
      <c r="G1314" s="338">
        <v>0</v>
      </c>
      <c r="H1314" s="204" t="s">
        <v>77</v>
      </c>
      <c r="I1314" s="204" t="s">
        <v>7427</v>
      </c>
    </row>
    <row r="1315" spans="1:9" x14ac:dyDescent="0.25">
      <c r="A1315" s="204" t="s">
        <v>1366</v>
      </c>
      <c r="B1315" s="9" t="str">
        <f t="shared" si="40"/>
        <v>27116052</v>
      </c>
      <c r="C1315" s="9" t="str">
        <f>VLOOKUP(B1315,COA!A:B,2,FALSE)</f>
        <v>CIAC-Non Taxable -  Other Gvt Ord Contmn Pub Funds</v>
      </c>
      <c r="D1315" s="338" t="str">
        <f t="shared" si="41"/>
        <v>C271</v>
      </c>
      <c r="E1315" s="338" t="s">
        <v>6886</v>
      </c>
      <c r="G1315" s="338">
        <v>0</v>
      </c>
      <c r="H1315" s="204" t="s">
        <v>77</v>
      </c>
      <c r="I1315" s="204" t="s">
        <v>7427</v>
      </c>
    </row>
    <row r="1316" spans="1:9" x14ac:dyDescent="0.25">
      <c r="A1316" s="204" t="s">
        <v>1367</v>
      </c>
      <c r="B1316" s="9" t="str">
        <f t="shared" si="40"/>
        <v>27116060</v>
      </c>
      <c r="C1316" s="9" t="str">
        <f>VLOOKUP(B1316,COA!A:B,2,FALSE)</f>
        <v>CIAC-Non Taxable -  Other Insurance Contmn Proceed</v>
      </c>
      <c r="D1316" s="338" t="str">
        <f t="shared" si="41"/>
        <v>C271</v>
      </c>
      <c r="E1316" s="338" t="s">
        <v>6886</v>
      </c>
      <c r="G1316" s="338">
        <v>0</v>
      </c>
      <c r="H1316" s="204" t="s">
        <v>77</v>
      </c>
      <c r="I1316" s="204" t="s">
        <v>7427</v>
      </c>
    </row>
    <row r="1317" spans="1:9" x14ac:dyDescent="0.25">
      <c r="A1317" s="204" t="s">
        <v>1368</v>
      </c>
      <c r="B1317" s="9" t="str">
        <f t="shared" si="40"/>
        <v>27117000</v>
      </c>
      <c r="C1317" s="9" t="str">
        <f>VLOOKUP(B1317,COA!A:B,2,FALSE)</f>
        <v>CIAC-Non Taxable -  WIP</v>
      </c>
      <c r="D1317" s="338" t="str">
        <f t="shared" si="41"/>
        <v>C271</v>
      </c>
      <c r="E1317" s="338" t="s">
        <v>6886</v>
      </c>
      <c r="G1317" s="338">
        <v>0</v>
      </c>
      <c r="H1317" s="204" t="s">
        <v>77</v>
      </c>
      <c r="I1317" s="204" t="s">
        <v>7427</v>
      </c>
    </row>
    <row r="1318" spans="1:9" x14ac:dyDescent="0.25">
      <c r="A1318" s="204" t="s">
        <v>1369</v>
      </c>
      <c r="B1318" s="9" t="str">
        <f t="shared" si="40"/>
        <v>27118000</v>
      </c>
      <c r="C1318" s="9" t="str">
        <f>VLOOKUP(B1318,COA!A:B,2,FALSE)</f>
        <v>CIAC-Non Taxable -  Non-Utility Property Property</v>
      </c>
      <c r="D1318" s="338" t="str">
        <f t="shared" si="41"/>
        <v>C271</v>
      </c>
      <c r="E1318" s="338" t="s">
        <v>6886</v>
      </c>
      <c r="G1318" s="338">
        <v>0</v>
      </c>
      <c r="H1318" s="204" t="s">
        <v>77</v>
      </c>
      <c r="I1318" s="204" t="s">
        <v>7427</v>
      </c>
    </row>
    <row r="1319" spans="1:9" x14ac:dyDescent="0.25">
      <c r="A1319" s="204" t="s">
        <v>1370</v>
      </c>
      <c r="B1319" s="9" t="str">
        <f t="shared" si="40"/>
        <v>27121000</v>
      </c>
      <c r="C1319" s="9" t="str">
        <f>VLOOKUP(B1319,COA!A:B,2,FALSE)</f>
        <v>CIAC-Taxable - Mains</v>
      </c>
      <c r="D1319" s="338" t="str">
        <f t="shared" si="41"/>
        <v>C271</v>
      </c>
      <c r="E1319" s="338" t="s">
        <v>6886</v>
      </c>
      <c r="G1319" s="338">
        <v>0</v>
      </c>
      <c r="H1319" s="204" t="s">
        <v>77</v>
      </c>
      <c r="I1319" s="204" t="s">
        <v>7427</v>
      </c>
    </row>
    <row r="1320" spans="1:9" x14ac:dyDescent="0.25">
      <c r="A1320" s="204" t="s">
        <v>1371</v>
      </c>
      <c r="B1320" s="9" t="str">
        <f t="shared" si="40"/>
        <v>27122000</v>
      </c>
      <c r="C1320" s="9" t="str">
        <f>VLOOKUP(B1320,COA!A:B,2,FALSE)</f>
        <v>CIAC-Taxable - Extension Deposits</v>
      </c>
      <c r="D1320" s="338" t="str">
        <f t="shared" si="41"/>
        <v>C271</v>
      </c>
      <c r="E1320" s="338" t="s">
        <v>6886</v>
      </c>
      <c r="G1320" s="338">
        <v>0</v>
      </c>
      <c r="H1320" s="204" t="s">
        <v>77</v>
      </c>
      <c r="I1320" s="204" t="s">
        <v>7427</v>
      </c>
    </row>
    <row r="1321" spans="1:9" x14ac:dyDescent="0.25">
      <c r="A1321" s="204" t="s">
        <v>1372</v>
      </c>
      <c r="B1321" s="9" t="str">
        <f t="shared" si="40"/>
        <v>27123000</v>
      </c>
      <c r="C1321" s="9" t="str">
        <f>VLOOKUP(B1321,COA!A:B,2,FALSE)</f>
        <v>CIAC-Taxable - Services</v>
      </c>
      <c r="D1321" s="338" t="str">
        <f t="shared" si="41"/>
        <v>C271</v>
      </c>
      <c r="E1321" s="338" t="s">
        <v>6886</v>
      </c>
      <c r="G1321" s="338">
        <v>0</v>
      </c>
      <c r="H1321" s="204" t="s">
        <v>77</v>
      </c>
      <c r="I1321" s="204" t="s">
        <v>7427</v>
      </c>
    </row>
    <row r="1322" spans="1:9" x14ac:dyDescent="0.25">
      <c r="A1322" s="204" t="s">
        <v>1373</v>
      </c>
      <c r="B1322" s="9" t="str">
        <f t="shared" si="40"/>
        <v>27124000</v>
      </c>
      <c r="C1322" s="9" t="str">
        <f>VLOOKUP(B1322,COA!A:B,2,FALSE)</f>
        <v>CIAC-Taxable - Meters</v>
      </c>
      <c r="D1322" s="338" t="str">
        <f t="shared" si="41"/>
        <v>C271</v>
      </c>
      <c r="E1322" s="338" t="s">
        <v>6886</v>
      </c>
      <c r="G1322" s="338">
        <v>0</v>
      </c>
      <c r="H1322" s="204" t="s">
        <v>77</v>
      </c>
      <c r="I1322" s="204" t="s">
        <v>7427</v>
      </c>
    </row>
    <row r="1323" spans="1:9" x14ac:dyDescent="0.25">
      <c r="A1323" s="204" t="s">
        <v>1374</v>
      </c>
      <c r="B1323" s="9" t="str">
        <f t="shared" si="40"/>
        <v>27125000</v>
      </c>
      <c r="C1323" s="9" t="str">
        <f>VLOOKUP(B1323,COA!A:B,2,FALSE)</f>
        <v>CIAC-Taxable - Hydrants</v>
      </c>
      <c r="D1323" s="338" t="str">
        <f t="shared" si="41"/>
        <v>C271</v>
      </c>
      <c r="E1323" s="338" t="s">
        <v>6886</v>
      </c>
      <c r="G1323" s="338">
        <v>0</v>
      </c>
      <c r="H1323" s="204" t="s">
        <v>77</v>
      </c>
      <c r="I1323" s="204" t="s">
        <v>7427</v>
      </c>
    </row>
    <row r="1324" spans="1:9" x14ac:dyDescent="0.25">
      <c r="A1324" s="204" t="s">
        <v>1375</v>
      </c>
      <c r="B1324" s="9" t="str">
        <f t="shared" si="40"/>
        <v>27126000</v>
      </c>
      <c r="C1324" s="9" t="str">
        <f>VLOOKUP(B1324,COA!A:B,2,FALSE)</f>
        <v>CIAC-Taxable - Other</v>
      </c>
      <c r="D1324" s="338" t="str">
        <f t="shared" si="41"/>
        <v>C271</v>
      </c>
      <c r="E1324" s="338" t="s">
        <v>6886</v>
      </c>
      <c r="G1324" s="338">
        <v>0</v>
      </c>
      <c r="H1324" s="204" t="s">
        <v>77</v>
      </c>
      <c r="I1324" s="204" t="s">
        <v>7427</v>
      </c>
    </row>
    <row r="1325" spans="1:9" x14ac:dyDescent="0.25">
      <c r="A1325" s="204" t="s">
        <v>1376</v>
      </c>
      <c r="B1325" s="9" t="str">
        <f t="shared" si="40"/>
        <v>27127000</v>
      </c>
      <c r="C1325" s="9" t="str">
        <f>VLOOKUP(B1325,COA!A:B,2,FALSE)</f>
        <v>CIAC-Taxable - WIP</v>
      </c>
      <c r="D1325" s="338" t="str">
        <f t="shared" si="41"/>
        <v>C271</v>
      </c>
      <c r="E1325" s="338" t="s">
        <v>6886</v>
      </c>
      <c r="G1325" s="338">
        <v>0</v>
      </c>
      <c r="H1325" s="204" t="s">
        <v>77</v>
      </c>
      <c r="I1325" s="204" t="s">
        <v>7427</v>
      </c>
    </row>
    <row r="1326" spans="1:9" x14ac:dyDescent="0.25">
      <c r="A1326" s="204" t="s">
        <v>1377</v>
      </c>
      <c r="B1326" s="9" t="str">
        <f t="shared" si="40"/>
        <v>27131000</v>
      </c>
      <c r="C1326" s="9" t="str">
        <f>VLOOKUP(B1326,COA!A:B,2,FALSE)</f>
        <v>CIAC-Taxable - Mains SIT</v>
      </c>
      <c r="D1326" s="338" t="str">
        <f t="shared" si="41"/>
        <v>C271</v>
      </c>
      <c r="E1326" s="338" t="s">
        <v>6886</v>
      </c>
      <c r="G1326" s="338">
        <v>0</v>
      </c>
      <c r="H1326" s="204" t="s">
        <v>77</v>
      </c>
      <c r="I1326" s="204" t="s">
        <v>7427</v>
      </c>
    </row>
    <row r="1327" spans="1:9" x14ac:dyDescent="0.25">
      <c r="A1327" s="204" t="s">
        <v>1378</v>
      </c>
      <c r="B1327" s="9" t="str">
        <f t="shared" si="40"/>
        <v>27133000</v>
      </c>
      <c r="C1327" s="9" t="str">
        <f>VLOOKUP(B1327,COA!A:B,2,FALSE)</f>
        <v>CIAC-Taxable - Services SIT</v>
      </c>
      <c r="D1327" s="338" t="str">
        <f t="shared" si="41"/>
        <v>C271</v>
      </c>
      <c r="E1327" s="338" t="s">
        <v>6886</v>
      </c>
      <c r="G1327" s="338">
        <v>0</v>
      </c>
      <c r="H1327" s="204" t="s">
        <v>77</v>
      </c>
      <c r="I1327" s="204" t="s">
        <v>7427</v>
      </c>
    </row>
    <row r="1328" spans="1:9" x14ac:dyDescent="0.25">
      <c r="A1328" s="204" t="s">
        <v>1379</v>
      </c>
      <c r="B1328" s="9" t="str">
        <f t="shared" si="40"/>
        <v>27135000</v>
      </c>
      <c r="C1328" s="9" t="str">
        <f>VLOOKUP(B1328,COA!A:B,2,FALSE)</f>
        <v>CIAC-Taxable - Hydrants SIT</v>
      </c>
      <c r="D1328" s="338" t="str">
        <f t="shared" si="41"/>
        <v>C271</v>
      </c>
      <c r="E1328" s="338" t="s">
        <v>6886</v>
      </c>
      <c r="G1328" s="338">
        <v>0</v>
      </c>
      <c r="H1328" s="204" t="s">
        <v>77</v>
      </c>
      <c r="I1328" s="204" t="s">
        <v>7427</v>
      </c>
    </row>
    <row r="1329" spans="1:9" x14ac:dyDescent="0.25">
      <c r="A1329" s="204" t="s">
        <v>1380</v>
      </c>
      <c r="B1329" s="9" t="str">
        <f t="shared" si="40"/>
        <v>27136000</v>
      </c>
      <c r="C1329" s="9" t="str">
        <f>VLOOKUP(B1329,COA!A:B,2,FALSE)</f>
        <v>CIAC-Taxable - Other SIT</v>
      </c>
      <c r="D1329" s="338" t="str">
        <f t="shared" si="41"/>
        <v>C271</v>
      </c>
      <c r="E1329" s="338" t="s">
        <v>6886</v>
      </c>
      <c r="G1329" s="338">
        <v>0</v>
      </c>
      <c r="H1329" s="204" t="s">
        <v>77</v>
      </c>
      <c r="I1329" s="204" t="s">
        <v>7427</v>
      </c>
    </row>
    <row r="1330" spans="1:9" x14ac:dyDescent="0.25">
      <c r="A1330" s="204" t="s">
        <v>1381</v>
      </c>
      <c r="B1330" s="9" t="str">
        <f t="shared" si="40"/>
        <v>27137000</v>
      </c>
      <c r="C1330" s="9" t="str">
        <f>VLOOKUP(B1330,COA!A:B,2,FALSE)</f>
        <v>CIAC-Taxable - WIP SIT</v>
      </c>
      <c r="D1330" s="338" t="str">
        <f t="shared" si="41"/>
        <v>C271</v>
      </c>
      <c r="E1330" s="338" t="s">
        <v>6886</v>
      </c>
      <c r="G1330" s="338">
        <v>0</v>
      </c>
      <c r="H1330" s="204" t="s">
        <v>77</v>
      </c>
      <c r="I1330" s="204" t="s">
        <v>7427</v>
      </c>
    </row>
    <row r="1331" spans="1:9" x14ac:dyDescent="0.25">
      <c r="A1331" s="204" t="s">
        <v>1382</v>
      </c>
      <c r="B1331" s="9" t="str">
        <f t="shared" si="40"/>
        <v>27141000</v>
      </c>
      <c r="C1331" s="9" t="str">
        <f>VLOOKUP(B1331,COA!A:B,2,FALSE)</f>
        <v>CIAC-Taxable - Mains FIT</v>
      </c>
      <c r="D1331" s="338" t="str">
        <f t="shared" si="41"/>
        <v>C271</v>
      </c>
      <c r="E1331" s="338" t="s">
        <v>6886</v>
      </c>
      <c r="G1331" s="338">
        <v>0</v>
      </c>
      <c r="H1331" s="204" t="s">
        <v>77</v>
      </c>
      <c r="I1331" s="204" t="s">
        <v>7427</v>
      </c>
    </row>
    <row r="1332" spans="1:9" x14ac:dyDescent="0.25">
      <c r="A1332" s="204" t="s">
        <v>1383</v>
      </c>
      <c r="B1332" s="9" t="str">
        <f t="shared" si="40"/>
        <v>27142000</v>
      </c>
      <c r="C1332" s="9" t="str">
        <f>VLOOKUP(B1332,COA!A:B,2,FALSE)</f>
        <v>CIAC-Taxable - Extension Deposits - FIT</v>
      </c>
      <c r="D1332" s="338" t="str">
        <f t="shared" si="41"/>
        <v>C271</v>
      </c>
      <c r="E1332" s="338" t="s">
        <v>6886</v>
      </c>
      <c r="G1332" s="338">
        <v>0</v>
      </c>
      <c r="H1332" s="204" t="s">
        <v>77</v>
      </c>
      <c r="I1332" s="204" t="s">
        <v>7427</v>
      </c>
    </row>
    <row r="1333" spans="1:9" x14ac:dyDescent="0.25">
      <c r="A1333" s="204" t="s">
        <v>1384</v>
      </c>
      <c r="B1333" s="9" t="str">
        <f t="shared" si="40"/>
        <v>27143000</v>
      </c>
      <c r="C1333" s="9" t="str">
        <f>VLOOKUP(B1333,COA!A:B,2,FALSE)</f>
        <v>CIAC-Taxable - Services FIT</v>
      </c>
      <c r="D1333" s="338" t="str">
        <f t="shared" si="41"/>
        <v>C271</v>
      </c>
      <c r="E1333" s="338" t="s">
        <v>6886</v>
      </c>
      <c r="G1333" s="338">
        <v>0</v>
      </c>
      <c r="H1333" s="204" t="s">
        <v>77</v>
      </c>
      <c r="I1333" s="204" t="s">
        <v>7427</v>
      </c>
    </row>
    <row r="1334" spans="1:9" x14ac:dyDescent="0.25">
      <c r="A1334" s="204" t="s">
        <v>1385</v>
      </c>
      <c r="B1334" s="9" t="str">
        <f t="shared" si="40"/>
        <v>27144000</v>
      </c>
      <c r="C1334" s="9" t="str">
        <f>VLOOKUP(B1334,COA!A:B,2,FALSE)</f>
        <v>CIAC-Taxable - Meters FIT</v>
      </c>
      <c r="D1334" s="338" t="str">
        <f t="shared" si="41"/>
        <v>C271</v>
      </c>
      <c r="E1334" s="338" t="s">
        <v>6886</v>
      </c>
      <c r="G1334" s="338">
        <v>0</v>
      </c>
      <c r="H1334" s="204" t="s">
        <v>77</v>
      </c>
      <c r="I1334" s="204" t="s">
        <v>7427</v>
      </c>
    </row>
    <row r="1335" spans="1:9" x14ac:dyDescent="0.25">
      <c r="A1335" s="204" t="s">
        <v>1386</v>
      </c>
      <c r="B1335" s="9" t="str">
        <f t="shared" si="40"/>
        <v>27145000</v>
      </c>
      <c r="C1335" s="9" t="str">
        <f>VLOOKUP(B1335,COA!A:B,2,FALSE)</f>
        <v>CIAC-Taxable - Hydrants FIT</v>
      </c>
      <c r="D1335" s="338" t="str">
        <f t="shared" si="41"/>
        <v>C271</v>
      </c>
      <c r="E1335" s="338" t="s">
        <v>6886</v>
      </c>
      <c r="G1335" s="338">
        <v>0</v>
      </c>
      <c r="H1335" s="204" t="s">
        <v>77</v>
      </c>
      <c r="I1335" s="204" t="s">
        <v>7427</v>
      </c>
    </row>
    <row r="1336" spans="1:9" x14ac:dyDescent="0.25">
      <c r="A1336" s="204" t="s">
        <v>1387</v>
      </c>
      <c r="B1336" s="9" t="str">
        <f t="shared" si="40"/>
        <v>27146000</v>
      </c>
      <c r="C1336" s="9" t="str">
        <f>VLOOKUP(B1336,COA!A:B,2,FALSE)</f>
        <v>CIAC-Taxable - Other FIT</v>
      </c>
      <c r="D1336" s="338" t="str">
        <f t="shared" si="41"/>
        <v>C271</v>
      </c>
      <c r="E1336" s="338" t="s">
        <v>6886</v>
      </c>
      <c r="G1336" s="338">
        <v>0</v>
      </c>
      <c r="H1336" s="204" t="s">
        <v>77</v>
      </c>
      <c r="I1336" s="204" t="s">
        <v>7427</v>
      </c>
    </row>
    <row r="1337" spans="1:9" x14ac:dyDescent="0.25">
      <c r="A1337" s="204" t="s">
        <v>1388</v>
      </c>
      <c r="B1337" s="9" t="str">
        <f t="shared" si="40"/>
        <v>27201000</v>
      </c>
      <c r="C1337" s="9" t="str">
        <f>VLOOKUP(B1337,COA!A:B,2,FALSE)</f>
        <v>Accum Amort CIAC - Mains</v>
      </c>
      <c r="D1337" s="338" t="str">
        <f t="shared" si="41"/>
        <v>C272</v>
      </c>
      <c r="E1337" s="338" t="s">
        <v>6886</v>
      </c>
      <c r="G1337" s="338">
        <v>0</v>
      </c>
      <c r="H1337" s="204" t="s">
        <v>77</v>
      </c>
      <c r="I1337" s="204" t="s">
        <v>7428</v>
      </c>
    </row>
    <row r="1338" spans="1:9" x14ac:dyDescent="0.25">
      <c r="A1338" s="204" t="s">
        <v>1389</v>
      </c>
      <c r="B1338" s="9" t="str">
        <f t="shared" si="40"/>
        <v>27203000</v>
      </c>
      <c r="C1338" s="9" t="str">
        <f>VLOOKUP(B1338,COA!A:B,2,FALSE)</f>
        <v>Accum Amort CIAC - Services</v>
      </c>
      <c r="D1338" s="338" t="str">
        <f t="shared" si="41"/>
        <v>C272</v>
      </c>
      <c r="E1338" s="338" t="s">
        <v>6886</v>
      </c>
      <c r="G1338" s="338">
        <v>0</v>
      </c>
      <c r="H1338" s="204" t="s">
        <v>77</v>
      </c>
      <c r="I1338" s="204" t="s">
        <v>7428</v>
      </c>
    </row>
    <row r="1339" spans="1:9" x14ac:dyDescent="0.25">
      <c r="A1339" s="204" t="s">
        <v>1390</v>
      </c>
      <c r="B1339" s="9" t="str">
        <f t="shared" si="40"/>
        <v>27204000</v>
      </c>
      <c r="C1339" s="9" t="str">
        <f>VLOOKUP(B1339,COA!A:B,2,FALSE)</f>
        <v>Accum Amort CIAC - Meters</v>
      </c>
      <c r="D1339" s="338" t="str">
        <f t="shared" si="41"/>
        <v>C272</v>
      </c>
      <c r="E1339" s="338" t="s">
        <v>6886</v>
      </c>
      <c r="G1339" s="338">
        <v>0</v>
      </c>
      <c r="H1339" s="204" t="s">
        <v>77</v>
      </c>
      <c r="I1339" s="204" t="s">
        <v>7428</v>
      </c>
    </row>
    <row r="1340" spans="1:9" x14ac:dyDescent="0.25">
      <c r="A1340" s="204" t="s">
        <v>1391</v>
      </c>
      <c r="B1340" s="9" t="str">
        <f t="shared" si="40"/>
        <v>27205000</v>
      </c>
      <c r="C1340" s="9" t="str">
        <f>VLOOKUP(B1340,COA!A:B,2,FALSE)</f>
        <v>Accum Amort CIAC - Hydrants</v>
      </c>
      <c r="D1340" s="338" t="str">
        <f t="shared" si="41"/>
        <v>C272</v>
      </c>
      <c r="E1340" s="338" t="s">
        <v>6886</v>
      </c>
      <c r="G1340" s="338">
        <v>0</v>
      </c>
      <c r="H1340" s="204" t="s">
        <v>77</v>
      </c>
      <c r="I1340" s="204" t="s">
        <v>7428</v>
      </c>
    </row>
    <row r="1341" spans="1:9" x14ac:dyDescent="0.25">
      <c r="A1341" s="204" t="s">
        <v>1392</v>
      </c>
      <c r="B1341" s="9" t="str">
        <f t="shared" ref="B1341:B1390" si="42">RIGHT(A1341,8)</f>
        <v>27206000</v>
      </c>
      <c r="C1341" s="9" t="str">
        <f>VLOOKUP(B1341,COA!A:B,2,FALSE)</f>
        <v>Accum Amort CIAC - Other</v>
      </c>
      <c r="D1341" s="338" t="str">
        <f t="shared" si="41"/>
        <v>C272</v>
      </c>
      <c r="E1341" s="338" t="s">
        <v>6886</v>
      </c>
      <c r="G1341" s="338">
        <v>0</v>
      </c>
      <c r="H1341" s="204" t="s">
        <v>77</v>
      </c>
      <c r="I1341" s="204" t="s">
        <v>7428</v>
      </c>
    </row>
    <row r="1342" spans="1:9" x14ac:dyDescent="0.25">
      <c r="A1342" s="204" t="s">
        <v>1393</v>
      </c>
      <c r="B1342" s="9" t="str">
        <f t="shared" si="42"/>
        <v>27210000</v>
      </c>
      <c r="C1342" s="9" t="str">
        <f>VLOOKUP(B1342,COA!A:B,2,FALSE)</f>
        <v>Accum Amort CIAC - Tax</v>
      </c>
      <c r="D1342" s="338" t="str">
        <f t="shared" si="41"/>
        <v>C272</v>
      </c>
      <c r="E1342" s="338" t="s">
        <v>6886</v>
      </c>
      <c r="G1342" s="338">
        <v>0</v>
      </c>
      <c r="H1342" s="204" t="s">
        <v>77</v>
      </c>
      <c r="I1342" s="204" t="s">
        <v>7428</v>
      </c>
    </row>
    <row r="1343" spans="1:9" x14ac:dyDescent="0.25">
      <c r="A1343" s="204" t="s">
        <v>1394</v>
      </c>
      <c r="B1343" s="9" t="str">
        <f t="shared" si="42"/>
        <v>29999999</v>
      </c>
      <c r="C1343" s="9" t="str">
        <f>VLOOKUP(B1343,COA!A:B,2,FALSE)</f>
        <v>999 Line JE Clearing</v>
      </c>
      <c r="D1343" s="338" t="str">
        <f t="shared" si="41"/>
        <v>C241</v>
      </c>
      <c r="E1343" s="338" t="s">
        <v>6886</v>
      </c>
      <c r="G1343" s="338">
        <v>0</v>
      </c>
      <c r="H1343" s="204" t="s">
        <v>77</v>
      </c>
      <c r="I1343" s="204" t="s">
        <v>7415</v>
      </c>
    </row>
    <row r="1344" spans="1:9" x14ac:dyDescent="0.25">
      <c r="A1344" s="204" t="s">
        <v>1395</v>
      </c>
      <c r="B1344" s="9" t="str">
        <f t="shared" si="42"/>
        <v>40111000</v>
      </c>
      <c r="C1344" s="9" t="str">
        <f>VLOOKUP(B1344,COA!A:B,2,FALSE)</f>
        <v>Residential Sales Billed</v>
      </c>
      <c r="D1344" s="338" t="str">
        <f t="shared" si="41"/>
        <v>C4611</v>
      </c>
      <c r="E1344" s="338" t="s">
        <v>6918</v>
      </c>
      <c r="F1344" s="338" t="s">
        <v>65</v>
      </c>
      <c r="G1344" s="338">
        <v>0</v>
      </c>
      <c r="H1344" s="204" t="s">
        <v>1396</v>
      </c>
      <c r="I1344" s="204" t="s">
        <v>7429</v>
      </c>
    </row>
    <row r="1345" spans="1:9" x14ac:dyDescent="0.25">
      <c r="A1345" s="204" t="s">
        <v>1397</v>
      </c>
      <c r="B1345" s="9" t="str">
        <f t="shared" si="42"/>
        <v>40111001</v>
      </c>
      <c r="C1345" s="9" t="str">
        <f>VLOOKUP(B1345,COA!A:B,2,FALSE)</f>
        <v>Residential Sales Billed - Discount</v>
      </c>
      <c r="D1345" s="338" t="str">
        <f t="shared" si="41"/>
        <v>C4611</v>
      </c>
      <c r="E1345" s="338" t="s">
        <v>6918</v>
      </c>
      <c r="F1345" s="338" t="s">
        <v>65</v>
      </c>
      <c r="G1345" s="338">
        <v>0</v>
      </c>
      <c r="H1345" s="204" t="s">
        <v>1396</v>
      </c>
      <c r="I1345" s="204" t="s">
        <v>7429</v>
      </c>
    </row>
    <row r="1346" spans="1:9" x14ac:dyDescent="0.25">
      <c r="A1346" s="204" t="s">
        <v>1398</v>
      </c>
      <c r="B1346" s="9" t="str">
        <f t="shared" si="42"/>
        <v>40111100</v>
      </c>
      <c r="C1346" s="9" t="str">
        <f>VLOOKUP(B1346,COA!A:B,2,FALSE)</f>
        <v>Residential Sales Billed Surcharge</v>
      </c>
      <c r="D1346" s="338" t="str">
        <f t="shared" si="41"/>
        <v>C4611</v>
      </c>
      <c r="E1346" s="338" t="s">
        <v>6918</v>
      </c>
      <c r="F1346" s="338" t="s">
        <v>65</v>
      </c>
      <c r="G1346" s="338">
        <v>0</v>
      </c>
      <c r="H1346" s="204" t="s">
        <v>1396</v>
      </c>
      <c r="I1346" s="204" t="s">
        <v>7429</v>
      </c>
    </row>
    <row r="1347" spans="1:9" x14ac:dyDescent="0.25">
      <c r="A1347" s="204" t="s">
        <v>1399</v>
      </c>
      <c r="B1347" s="9" t="str">
        <f t="shared" si="42"/>
        <v>40111199</v>
      </c>
      <c r="C1347" s="9" t="str">
        <f>VLOOKUP(B1347,COA!A:B,2,FALSE)</f>
        <v>Residential Sales Billed Surcharge - Clearing</v>
      </c>
      <c r="D1347" s="338" t="str">
        <f t="shared" si="41"/>
        <v>C4611</v>
      </c>
      <c r="E1347" s="338" t="s">
        <v>6918</v>
      </c>
      <c r="F1347" s="338" t="s">
        <v>65</v>
      </c>
      <c r="G1347" s="338">
        <v>0</v>
      </c>
      <c r="H1347" s="204" t="s">
        <v>1396</v>
      </c>
      <c r="I1347" s="204" t="s">
        <v>7429</v>
      </c>
    </row>
    <row r="1348" spans="1:9" x14ac:dyDescent="0.25">
      <c r="A1348" s="204" t="s">
        <v>1400</v>
      </c>
      <c r="B1348" s="9" t="str">
        <f t="shared" si="42"/>
        <v>40111200</v>
      </c>
      <c r="C1348" s="9" t="str">
        <f>VLOOKUP(B1348,COA!A:B,2,FALSE)</f>
        <v>Residential Sales Billed DSIC</v>
      </c>
      <c r="D1348" s="338" t="str">
        <f t="shared" si="41"/>
        <v>C4611</v>
      </c>
      <c r="E1348" s="338" t="s">
        <v>6918</v>
      </c>
      <c r="F1348" s="338" t="s">
        <v>65</v>
      </c>
      <c r="G1348" s="338">
        <v>0</v>
      </c>
      <c r="H1348" s="204" t="s">
        <v>1396</v>
      </c>
      <c r="I1348" s="204" t="s">
        <v>7429</v>
      </c>
    </row>
    <row r="1349" spans="1:9" x14ac:dyDescent="0.25">
      <c r="A1349" s="204" t="s">
        <v>1401</v>
      </c>
      <c r="B1349" s="9" t="str">
        <f t="shared" si="42"/>
        <v>40111300</v>
      </c>
      <c r="C1349" s="9" t="str">
        <f>VLOOKUP(B1349,COA!A:B,2,FALSE)</f>
        <v>Residential Sales Billed Unmetered</v>
      </c>
      <c r="D1349" s="338" t="str">
        <f t="shared" si="41"/>
        <v>C460</v>
      </c>
      <c r="E1349" s="338" t="s">
        <v>6918</v>
      </c>
      <c r="F1349" s="338" t="s">
        <v>65</v>
      </c>
      <c r="G1349" s="338">
        <v>0</v>
      </c>
      <c r="H1349" s="204" t="s">
        <v>1396</v>
      </c>
      <c r="I1349" s="204" t="s">
        <v>7430</v>
      </c>
    </row>
    <row r="1350" spans="1:9" x14ac:dyDescent="0.25">
      <c r="A1350" s="204" t="s">
        <v>1402</v>
      </c>
      <c r="B1350" s="9" t="str">
        <f t="shared" si="42"/>
        <v>40111400</v>
      </c>
      <c r="C1350" s="9" t="str">
        <f>VLOOKUP(B1350,COA!A:B,2,FALSE)</f>
        <v>Residential Sales Billed Non-Rev Stabil Mechanism</v>
      </c>
      <c r="D1350" s="338" t="str">
        <f t="shared" si="41"/>
        <v>C4611</v>
      </c>
      <c r="E1350" s="338" t="s">
        <v>6918</v>
      </c>
      <c r="F1350" s="338" t="s">
        <v>65</v>
      </c>
      <c r="G1350" s="338">
        <v>0</v>
      </c>
      <c r="H1350" s="204" t="s">
        <v>1396</v>
      </c>
      <c r="I1350" s="204" t="s">
        <v>7429</v>
      </c>
    </row>
    <row r="1351" spans="1:9" x14ac:dyDescent="0.25">
      <c r="A1351" s="204" t="s">
        <v>1403</v>
      </c>
      <c r="B1351" s="9" t="str">
        <f t="shared" si="42"/>
        <v>40112000</v>
      </c>
      <c r="C1351" s="9" t="str">
        <f>VLOOKUP(B1351,COA!A:B,2,FALSE)</f>
        <v>Residential Sales Unbilled</v>
      </c>
      <c r="D1351" s="338" t="str">
        <f t="shared" si="41"/>
        <v>C4611</v>
      </c>
      <c r="E1351" s="338" t="s">
        <v>6918</v>
      </c>
      <c r="F1351" s="338" t="s">
        <v>65</v>
      </c>
      <c r="G1351" s="338">
        <v>0</v>
      </c>
      <c r="H1351" s="204" t="s">
        <v>1396</v>
      </c>
      <c r="I1351" s="204" t="s">
        <v>7429</v>
      </c>
    </row>
    <row r="1352" spans="1:9" x14ac:dyDescent="0.25">
      <c r="A1352" s="204" t="s">
        <v>1404</v>
      </c>
      <c r="B1352" s="9" t="str">
        <f t="shared" si="42"/>
        <v>40121000</v>
      </c>
      <c r="C1352" s="9" t="str">
        <f>VLOOKUP(B1352,COA!A:B,2,FALSE)</f>
        <v>Commercial Sales Billed</v>
      </c>
      <c r="D1352" s="338" t="str">
        <f t="shared" si="41"/>
        <v>C4612</v>
      </c>
      <c r="E1352" s="338" t="s">
        <v>6918</v>
      </c>
      <c r="F1352" s="338" t="s">
        <v>70</v>
      </c>
      <c r="G1352" s="338">
        <v>0</v>
      </c>
      <c r="H1352" s="204" t="s">
        <v>1396</v>
      </c>
      <c r="I1352" s="204" t="s">
        <v>7431</v>
      </c>
    </row>
    <row r="1353" spans="1:9" x14ac:dyDescent="0.25">
      <c r="A1353" s="204" t="s">
        <v>1405</v>
      </c>
      <c r="B1353" s="9" t="str">
        <f t="shared" si="42"/>
        <v>40121100</v>
      </c>
      <c r="C1353" s="9" t="str">
        <f>VLOOKUP(B1353,COA!A:B,2,FALSE)</f>
        <v>Commercial Sales Billed Surcharge</v>
      </c>
      <c r="D1353" s="338" t="str">
        <f t="shared" si="41"/>
        <v>C4612</v>
      </c>
      <c r="E1353" s="338" t="s">
        <v>6918</v>
      </c>
      <c r="F1353" s="338" t="s">
        <v>70</v>
      </c>
      <c r="G1353" s="338">
        <v>0</v>
      </c>
      <c r="H1353" s="204" t="s">
        <v>1396</v>
      </c>
      <c r="I1353" s="204" t="s">
        <v>7431</v>
      </c>
    </row>
    <row r="1354" spans="1:9" x14ac:dyDescent="0.25">
      <c r="A1354" s="204" t="s">
        <v>1406</v>
      </c>
      <c r="B1354" s="9" t="str">
        <f t="shared" si="42"/>
        <v>40121200</v>
      </c>
      <c r="C1354" s="9" t="str">
        <f>VLOOKUP(B1354,COA!A:B,2,FALSE)</f>
        <v>Commercial Sales Billed DSIC</v>
      </c>
      <c r="D1354" s="338" t="str">
        <f t="shared" si="41"/>
        <v>C4612</v>
      </c>
      <c r="E1354" s="338" t="s">
        <v>6918</v>
      </c>
      <c r="F1354" s="338" t="s">
        <v>70</v>
      </c>
      <c r="G1354" s="338">
        <v>0</v>
      </c>
      <c r="H1354" s="204" t="s">
        <v>1396</v>
      </c>
      <c r="I1354" s="204" t="s">
        <v>7431</v>
      </c>
    </row>
    <row r="1355" spans="1:9" x14ac:dyDescent="0.25">
      <c r="A1355" s="204" t="s">
        <v>1407</v>
      </c>
      <c r="B1355" s="9" t="str">
        <f t="shared" si="42"/>
        <v>40121300</v>
      </c>
      <c r="C1355" s="9" t="str">
        <f>VLOOKUP(B1355,COA!A:B,2,FALSE)</f>
        <v>Commercial Sales Billed Unmetered</v>
      </c>
      <c r="D1355" s="338" t="str">
        <f t="shared" ref="D1355:D1418" si="43">+I1355</f>
        <v>C460</v>
      </c>
      <c r="E1355" s="338" t="s">
        <v>6918</v>
      </c>
      <c r="F1355" s="338" t="s">
        <v>70</v>
      </c>
      <c r="G1355" s="338">
        <v>0</v>
      </c>
      <c r="H1355" s="204" t="s">
        <v>1396</v>
      </c>
      <c r="I1355" s="204" t="s">
        <v>7430</v>
      </c>
    </row>
    <row r="1356" spans="1:9" x14ac:dyDescent="0.25">
      <c r="A1356" s="204" t="s">
        <v>1408</v>
      </c>
      <c r="B1356" s="9" t="str">
        <f t="shared" si="42"/>
        <v>40121400</v>
      </c>
      <c r="C1356" s="9" t="str">
        <f>VLOOKUP(B1356,COA!A:B,2,FALSE)</f>
        <v>Commercial Sales Billed Non-Rev Stabil Mechanism</v>
      </c>
      <c r="D1356" s="338" t="str">
        <f t="shared" si="43"/>
        <v>C4612</v>
      </c>
      <c r="E1356" s="338" t="s">
        <v>6918</v>
      </c>
      <c r="F1356" s="338" t="s">
        <v>70</v>
      </c>
      <c r="G1356" s="338">
        <v>0</v>
      </c>
      <c r="H1356" s="204" t="s">
        <v>1396</v>
      </c>
      <c r="I1356" s="204" t="s">
        <v>7431</v>
      </c>
    </row>
    <row r="1357" spans="1:9" x14ac:dyDescent="0.25">
      <c r="A1357" s="204" t="s">
        <v>1409</v>
      </c>
      <c r="B1357" s="9" t="str">
        <f t="shared" si="42"/>
        <v>40122000</v>
      </c>
      <c r="C1357" s="9" t="str">
        <f>VLOOKUP(B1357,COA!A:B,2,FALSE)</f>
        <v>Commercial Sales Unbilled</v>
      </c>
      <c r="D1357" s="338" t="str">
        <f t="shared" si="43"/>
        <v>C4612</v>
      </c>
      <c r="E1357" s="338" t="s">
        <v>6918</v>
      </c>
      <c r="F1357" s="338" t="s">
        <v>70</v>
      </c>
      <c r="G1357" s="338">
        <v>0</v>
      </c>
      <c r="H1357" s="204" t="s">
        <v>1396</v>
      </c>
      <c r="I1357" s="204" t="s">
        <v>7431</v>
      </c>
    </row>
    <row r="1358" spans="1:9" x14ac:dyDescent="0.25">
      <c r="A1358" s="204" t="s">
        <v>1410</v>
      </c>
      <c r="B1358" s="9" t="str">
        <f t="shared" si="42"/>
        <v>40131000</v>
      </c>
      <c r="C1358" s="9" t="str">
        <f>VLOOKUP(B1358,COA!A:B,2,FALSE)</f>
        <v>Industrial Sales Billed</v>
      </c>
      <c r="D1358" s="338" t="str">
        <f t="shared" si="43"/>
        <v>C4613</v>
      </c>
      <c r="E1358" s="338" t="s">
        <v>6918</v>
      </c>
      <c r="F1358" s="338" t="s">
        <v>66</v>
      </c>
      <c r="G1358" s="338">
        <v>0</v>
      </c>
      <c r="H1358" s="204" t="s">
        <v>1396</v>
      </c>
      <c r="I1358" s="204" t="s">
        <v>7432</v>
      </c>
    </row>
    <row r="1359" spans="1:9" x14ac:dyDescent="0.25">
      <c r="A1359" s="204" t="s">
        <v>1411</v>
      </c>
      <c r="B1359" s="9" t="str">
        <f t="shared" si="42"/>
        <v>40131100</v>
      </c>
      <c r="C1359" s="9" t="str">
        <f>VLOOKUP(B1359,COA!A:B,2,FALSE)</f>
        <v>Industrial Sales Billed Surcharge</v>
      </c>
      <c r="D1359" s="338" t="str">
        <f t="shared" si="43"/>
        <v>C4613</v>
      </c>
      <c r="E1359" s="338" t="s">
        <v>6918</v>
      </c>
      <c r="F1359" s="338" t="s">
        <v>66</v>
      </c>
      <c r="G1359" s="338">
        <v>0</v>
      </c>
      <c r="H1359" s="204" t="s">
        <v>1396</v>
      </c>
      <c r="I1359" s="204" t="s">
        <v>7432</v>
      </c>
    </row>
    <row r="1360" spans="1:9" x14ac:dyDescent="0.25">
      <c r="A1360" s="204" t="s">
        <v>1412</v>
      </c>
      <c r="B1360" s="9" t="str">
        <f t="shared" si="42"/>
        <v>40131200</v>
      </c>
      <c r="C1360" s="9" t="str">
        <f>VLOOKUP(B1360,COA!A:B,2,FALSE)</f>
        <v>Industrial Sales Billed DSIC</v>
      </c>
      <c r="D1360" s="338" t="str">
        <f t="shared" si="43"/>
        <v>C4613</v>
      </c>
      <c r="E1360" s="338" t="s">
        <v>6918</v>
      </c>
      <c r="F1360" s="338" t="s">
        <v>66</v>
      </c>
      <c r="G1360" s="338">
        <v>0</v>
      </c>
      <c r="H1360" s="204" t="s">
        <v>1396</v>
      </c>
      <c r="I1360" s="204" t="s">
        <v>7432</v>
      </c>
    </row>
    <row r="1361" spans="1:9" x14ac:dyDescent="0.25">
      <c r="A1361" s="204" t="s">
        <v>1413</v>
      </c>
      <c r="B1361" s="9" t="str">
        <f t="shared" si="42"/>
        <v>40131400</v>
      </c>
      <c r="C1361" s="9" t="str">
        <f>VLOOKUP(B1361,COA!A:B,2,FALSE)</f>
        <v>Industrial Sales Billed Non-Rev Stabil Mechanism</v>
      </c>
      <c r="D1361" s="338" t="str">
        <f t="shared" si="43"/>
        <v>C4613</v>
      </c>
      <c r="E1361" s="338" t="s">
        <v>6918</v>
      </c>
      <c r="F1361" s="338" t="s">
        <v>66</v>
      </c>
      <c r="G1361" s="338">
        <v>0</v>
      </c>
      <c r="H1361" s="204" t="s">
        <v>1396</v>
      </c>
      <c r="I1361" s="204" t="s">
        <v>7432</v>
      </c>
    </row>
    <row r="1362" spans="1:9" x14ac:dyDescent="0.25">
      <c r="A1362" s="204" t="s">
        <v>1414</v>
      </c>
      <c r="B1362" s="9" t="str">
        <f t="shared" si="42"/>
        <v>40132000</v>
      </c>
      <c r="C1362" s="9" t="str">
        <f>VLOOKUP(B1362,COA!A:B,2,FALSE)</f>
        <v>Industiral Sales Unbilled</v>
      </c>
      <c r="D1362" s="338" t="str">
        <f t="shared" si="43"/>
        <v>C4613</v>
      </c>
      <c r="E1362" s="338" t="s">
        <v>6918</v>
      </c>
      <c r="F1362" s="338" t="s">
        <v>66</v>
      </c>
      <c r="G1362" s="338">
        <v>0</v>
      </c>
      <c r="H1362" s="204" t="s">
        <v>1396</v>
      </c>
      <c r="I1362" s="204" t="s">
        <v>7432</v>
      </c>
    </row>
    <row r="1363" spans="1:9" x14ac:dyDescent="0.25">
      <c r="A1363" s="204" t="s">
        <v>1415</v>
      </c>
      <c r="B1363" s="9" t="str">
        <f t="shared" si="42"/>
        <v>40138000</v>
      </c>
      <c r="C1363" s="9" t="str">
        <f>VLOOKUP(B1363,COA!A:B,2,FALSE)</f>
        <v>Accrued Revenue Stabilization</v>
      </c>
      <c r="D1363" s="338" t="str">
        <f t="shared" si="43"/>
        <v>C4611</v>
      </c>
      <c r="E1363" s="338" t="s">
        <v>6918</v>
      </c>
      <c r="F1363" s="338" t="s">
        <v>7</v>
      </c>
      <c r="G1363" s="338">
        <v>0</v>
      </c>
      <c r="H1363" s="204" t="s">
        <v>1396</v>
      </c>
      <c r="I1363" s="204" t="s">
        <v>7429</v>
      </c>
    </row>
    <row r="1364" spans="1:9" x14ac:dyDescent="0.25">
      <c r="A1364" s="204" t="s">
        <v>1416</v>
      </c>
      <c r="B1364" s="9" t="str">
        <f t="shared" si="42"/>
        <v>40138200</v>
      </c>
      <c r="C1364" s="9" t="str">
        <f>VLOOKUP(B1364,COA!A:B,2,FALSE)</f>
        <v>Accrued Property Tax Rev Stblztn</v>
      </c>
      <c r="D1364" s="338" t="str">
        <f t="shared" si="43"/>
        <v>C4611</v>
      </c>
      <c r="E1364" s="338" t="s">
        <v>6918</v>
      </c>
      <c r="F1364" s="338" t="s">
        <v>7</v>
      </c>
      <c r="G1364" s="338">
        <v>0</v>
      </c>
      <c r="H1364" s="204" t="s">
        <v>1396</v>
      </c>
      <c r="I1364" s="204" t="s">
        <v>7429</v>
      </c>
    </row>
    <row r="1365" spans="1:9" x14ac:dyDescent="0.25">
      <c r="A1365" s="204" t="s">
        <v>1417</v>
      </c>
      <c r="B1365" s="9" t="str">
        <f t="shared" si="42"/>
        <v>40141000</v>
      </c>
      <c r="C1365" s="9" t="str">
        <f>VLOOKUP(B1365,COA!A:B,2,FALSE)</f>
        <v>Public Fire Billed</v>
      </c>
      <c r="D1365" s="338" t="str">
        <f t="shared" si="43"/>
        <v>C4621</v>
      </c>
      <c r="E1365" s="338" t="s">
        <v>6918</v>
      </c>
      <c r="F1365" s="338" t="s">
        <v>67</v>
      </c>
      <c r="G1365" s="338">
        <v>0</v>
      </c>
      <c r="H1365" s="204" t="s">
        <v>1396</v>
      </c>
      <c r="I1365" s="204" t="s">
        <v>7433</v>
      </c>
    </row>
    <row r="1366" spans="1:9" x14ac:dyDescent="0.25">
      <c r="A1366" s="204" t="s">
        <v>1418</v>
      </c>
      <c r="B1366" s="9" t="str">
        <f t="shared" si="42"/>
        <v>40141100</v>
      </c>
      <c r="C1366" s="9" t="str">
        <f>VLOOKUP(B1366,COA!A:B,2,FALSE)</f>
        <v>Public Fire Billed Surcharge</v>
      </c>
      <c r="D1366" s="338" t="str">
        <f t="shared" si="43"/>
        <v>C4621</v>
      </c>
      <c r="E1366" s="338" t="s">
        <v>6918</v>
      </c>
      <c r="F1366" s="338" t="s">
        <v>67</v>
      </c>
      <c r="G1366" s="338">
        <v>0</v>
      </c>
      <c r="H1366" s="204" t="s">
        <v>1396</v>
      </c>
      <c r="I1366" s="204" t="s">
        <v>7433</v>
      </c>
    </row>
    <row r="1367" spans="1:9" x14ac:dyDescent="0.25">
      <c r="A1367" s="204" t="s">
        <v>1419</v>
      </c>
      <c r="B1367" s="9" t="str">
        <f t="shared" si="42"/>
        <v>40141200</v>
      </c>
      <c r="C1367" s="9" t="str">
        <f>VLOOKUP(B1367,COA!A:B,2,FALSE)</f>
        <v>Public Fire Billed DSIC</v>
      </c>
      <c r="D1367" s="338" t="str">
        <f t="shared" si="43"/>
        <v>C4621</v>
      </c>
      <c r="E1367" s="338" t="s">
        <v>6918</v>
      </c>
      <c r="F1367" s="338" t="s">
        <v>67</v>
      </c>
      <c r="G1367" s="338">
        <v>0</v>
      </c>
      <c r="H1367" s="204" t="s">
        <v>1396</v>
      </c>
      <c r="I1367" s="204" t="s">
        <v>7433</v>
      </c>
    </row>
    <row r="1368" spans="1:9" x14ac:dyDescent="0.25">
      <c r="A1368" s="204" t="s">
        <v>1420</v>
      </c>
      <c r="B1368" s="9" t="str">
        <f t="shared" si="42"/>
        <v>40141400</v>
      </c>
      <c r="C1368" s="9" t="str">
        <f>VLOOKUP(B1368,COA!A:B,2,FALSE)</f>
        <v>Public Fire Billed Non-Rev Stabil Mechanism</v>
      </c>
      <c r="D1368" s="338" t="str">
        <f t="shared" si="43"/>
        <v>C4621</v>
      </c>
      <c r="E1368" s="338" t="s">
        <v>6918</v>
      </c>
      <c r="F1368" s="338" t="s">
        <v>67</v>
      </c>
      <c r="G1368" s="338">
        <v>0</v>
      </c>
      <c r="H1368" s="204" t="s">
        <v>1396</v>
      </c>
      <c r="I1368" s="204" t="s">
        <v>7433</v>
      </c>
    </row>
    <row r="1369" spans="1:9" x14ac:dyDescent="0.25">
      <c r="A1369" s="204" t="s">
        <v>1421</v>
      </c>
      <c r="B1369" s="9" t="str">
        <f t="shared" si="42"/>
        <v>40142000</v>
      </c>
      <c r="C1369" s="9" t="str">
        <f>VLOOKUP(B1369,COA!A:B,2,FALSE)</f>
        <v>Public Fire Unbilled</v>
      </c>
      <c r="D1369" s="338" t="str">
        <f t="shared" si="43"/>
        <v>C4621</v>
      </c>
      <c r="E1369" s="338" t="s">
        <v>6918</v>
      </c>
      <c r="F1369" s="338" t="s">
        <v>67</v>
      </c>
      <c r="G1369" s="338">
        <v>0</v>
      </c>
      <c r="H1369" s="204" t="s">
        <v>1396</v>
      </c>
      <c r="I1369" s="204" t="s">
        <v>7433</v>
      </c>
    </row>
    <row r="1370" spans="1:9" x14ac:dyDescent="0.25">
      <c r="A1370" s="204" t="s">
        <v>1422</v>
      </c>
      <c r="B1370" s="9" t="str">
        <f t="shared" si="42"/>
        <v>40145000</v>
      </c>
      <c r="C1370" s="9" t="str">
        <f>VLOOKUP(B1370,COA!A:B,2,FALSE)</f>
        <v>Private Fire Billed</v>
      </c>
      <c r="D1370" s="338" t="str">
        <f t="shared" si="43"/>
        <v>C4622</v>
      </c>
      <c r="E1370" s="338" t="s">
        <v>6918</v>
      </c>
      <c r="F1370" s="338" t="s">
        <v>68</v>
      </c>
      <c r="G1370" s="338">
        <v>0</v>
      </c>
      <c r="H1370" s="204" t="s">
        <v>1396</v>
      </c>
      <c r="I1370" s="204" t="s">
        <v>7434</v>
      </c>
    </row>
    <row r="1371" spans="1:9" x14ac:dyDescent="0.25">
      <c r="A1371" s="204" t="s">
        <v>1423</v>
      </c>
      <c r="B1371" s="9" t="str">
        <f t="shared" si="42"/>
        <v>40145100</v>
      </c>
      <c r="C1371" s="9" t="str">
        <f>VLOOKUP(B1371,COA!A:B,2,FALSE)</f>
        <v>Private Fire Billed Surcharge</v>
      </c>
      <c r="D1371" s="338" t="str">
        <f t="shared" si="43"/>
        <v>C4622</v>
      </c>
      <c r="E1371" s="338" t="s">
        <v>6918</v>
      </c>
      <c r="F1371" s="338" t="s">
        <v>68</v>
      </c>
      <c r="G1371" s="338">
        <v>0</v>
      </c>
      <c r="H1371" s="204" t="s">
        <v>1396</v>
      </c>
      <c r="I1371" s="204" t="s">
        <v>7434</v>
      </c>
    </row>
    <row r="1372" spans="1:9" x14ac:dyDescent="0.25">
      <c r="A1372" s="204" t="s">
        <v>1424</v>
      </c>
      <c r="B1372" s="9" t="str">
        <f t="shared" si="42"/>
        <v>40145200</v>
      </c>
      <c r="C1372" s="9" t="str">
        <f>VLOOKUP(B1372,COA!A:B,2,FALSE)</f>
        <v>Private Fire Billed DSIC</v>
      </c>
      <c r="D1372" s="338" t="str">
        <f t="shared" si="43"/>
        <v>C4622</v>
      </c>
      <c r="E1372" s="338" t="s">
        <v>6918</v>
      </c>
      <c r="F1372" s="338" t="s">
        <v>68</v>
      </c>
      <c r="G1372" s="338">
        <v>0</v>
      </c>
      <c r="H1372" s="204" t="s">
        <v>1396</v>
      </c>
      <c r="I1372" s="204" t="s">
        <v>7434</v>
      </c>
    </row>
    <row r="1373" spans="1:9" x14ac:dyDescent="0.25">
      <c r="A1373" s="204" t="s">
        <v>1425</v>
      </c>
      <c r="B1373" s="9" t="str">
        <f t="shared" si="42"/>
        <v>40145400</v>
      </c>
      <c r="C1373" s="9" t="str">
        <f>VLOOKUP(B1373,COA!A:B,2,FALSE)</f>
        <v>Private Fire Billed Non-Rev Stabil Mechanism</v>
      </c>
      <c r="D1373" s="338" t="str">
        <f t="shared" si="43"/>
        <v>C4622</v>
      </c>
      <c r="E1373" s="338" t="s">
        <v>6918</v>
      </c>
      <c r="F1373" s="338" t="s">
        <v>68</v>
      </c>
      <c r="G1373" s="338">
        <v>0</v>
      </c>
      <c r="H1373" s="204" t="s">
        <v>1396</v>
      </c>
      <c r="I1373" s="204" t="s">
        <v>7434</v>
      </c>
    </row>
    <row r="1374" spans="1:9" x14ac:dyDescent="0.25">
      <c r="A1374" s="204" t="s">
        <v>1426</v>
      </c>
      <c r="B1374" s="9" t="str">
        <f t="shared" si="42"/>
        <v>40146000</v>
      </c>
      <c r="C1374" s="9" t="str">
        <f>VLOOKUP(B1374,COA!A:B,2,FALSE)</f>
        <v>Private Fire Unbilled</v>
      </c>
      <c r="D1374" s="338" t="str">
        <f t="shared" si="43"/>
        <v>C4622</v>
      </c>
      <c r="E1374" s="338" t="s">
        <v>6918</v>
      </c>
      <c r="F1374" s="338" t="s">
        <v>68</v>
      </c>
      <c r="G1374" s="338">
        <v>0</v>
      </c>
      <c r="H1374" s="204" t="s">
        <v>1396</v>
      </c>
      <c r="I1374" s="204" t="s">
        <v>7434</v>
      </c>
    </row>
    <row r="1375" spans="1:9" x14ac:dyDescent="0.25">
      <c r="A1375" s="204" t="s">
        <v>1427</v>
      </c>
      <c r="B1375" s="9" t="str">
        <f t="shared" si="42"/>
        <v>40151000</v>
      </c>
      <c r="C1375" s="9" t="str">
        <f>VLOOKUP(B1375,COA!A:B,2,FALSE)</f>
        <v>Public Authority Billed</v>
      </c>
      <c r="D1375" s="338" t="str">
        <f t="shared" si="43"/>
        <v>C4614</v>
      </c>
      <c r="E1375" s="338" t="s">
        <v>6918</v>
      </c>
      <c r="F1375" s="338" t="s">
        <v>6909</v>
      </c>
      <c r="G1375" s="338">
        <v>0</v>
      </c>
      <c r="H1375" s="204" t="s">
        <v>1396</v>
      </c>
      <c r="I1375" s="204" t="s">
        <v>7435</v>
      </c>
    </row>
    <row r="1376" spans="1:9" x14ac:dyDescent="0.25">
      <c r="A1376" s="204" t="s">
        <v>1428</v>
      </c>
      <c r="B1376" s="9" t="str">
        <f t="shared" si="42"/>
        <v>40151100</v>
      </c>
      <c r="C1376" s="9" t="str">
        <f>VLOOKUP(B1376,COA!A:B,2,FALSE)</f>
        <v>Public Authority Billed Surcharge</v>
      </c>
      <c r="D1376" s="338" t="str">
        <f t="shared" si="43"/>
        <v>C4614</v>
      </c>
      <c r="E1376" s="338" t="s">
        <v>6918</v>
      </c>
      <c r="F1376" s="338" t="s">
        <v>6909</v>
      </c>
      <c r="G1376" s="338">
        <v>0</v>
      </c>
      <c r="H1376" s="204" t="s">
        <v>1396</v>
      </c>
      <c r="I1376" s="204" t="s">
        <v>7435</v>
      </c>
    </row>
    <row r="1377" spans="1:9" x14ac:dyDescent="0.25">
      <c r="A1377" s="204" t="s">
        <v>1429</v>
      </c>
      <c r="B1377" s="9" t="str">
        <f t="shared" si="42"/>
        <v>40151200</v>
      </c>
      <c r="C1377" s="9" t="str">
        <f>VLOOKUP(B1377,COA!A:B,2,FALSE)</f>
        <v>Public Authority Billed DSIC</v>
      </c>
      <c r="D1377" s="338" t="str">
        <f t="shared" si="43"/>
        <v>C4614</v>
      </c>
      <c r="E1377" s="338" t="s">
        <v>6918</v>
      </c>
      <c r="F1377" s="338" t="s">
        <v>6909</v>
      </c>
      <c r="G1377" s="338">
        <v>0</v>
      </c>
      <c r="H1377" s="204" t="s">
        <v>1396</v>
      </c>
      <c r="I1377" s="204" t="s">
        <v>7435</v>
      </c>
    </row>
    <row r="1378" spans="1:9" x14ac:dyDescent="0.25">
      <c r="A1378" s="204" t="s">
        <v>1430</v>
      </c>
      <c r="B1378" s="9" t="str">
        <f t="shared" si="42"/>
        <v>40151400</v>
      </c>
      <c r="C1378" s="9" t="str">
        <f>VLOOKUP(B1378,COA!A:B,2,FALSE)</f>
        <v>Public Authority Billed Non-Rev Stabil Mechanism</v>
      </c>
      <c r="D1378" s="338" t="str">
        <f t="shared" si="43"/>
        <v>C4614</v>
      </c>
      <c r="E1378" s="338" t="s">
        <v>6918</v>
      </c>
      <c r="F1378" s="338" t="s">
        <v>6909</v>
      </c>
      <c r="G1378" s="338">
        <v>0</v>
      </c>
      <c r="H1378" s="204" t="s">
        <v>1396</v>
      </c>
      <c r="I1378" s="204" t="s">
        <v>7435</v>
      </c>
    </row>
    <row r="1379" spans="1:9" x14ac:dyDescent="0.25">
      <c r="A1379" s="204" t="s">
        <v>1431</v>
      </c>
      <c r="B1379" s="9" t="str">
        <f t="shared" si="42"/>
        <v>40152000</v>
      </c>
      <c r="C1379" s="9" t="str">
        <f>VLOOKUP(B1379,COA!A:B,2,FALSE)</f>
        <v>Public Authority Unbilled</v>
      </c>
      <c r="D1379" s="338" t="str">
        <f t="shared" si="43"/>
        <v>C4614</v>
      </c>
      <c r="E1379" s="338" t="s">
        <v>6918</v>
      </c>
      <c r="F1379" s="338" t="s">
        <v>6909</v>
      </c>
      <c r="G1379" s="338">
        <v>0</v>
      </c>
      <c r="H1379" s="204" t="s">
        <v>1396</v>
      </c>
      <c r="I1379" s="204" t="s">
        <v>7435</v>
      </c>
    </row>
    <row r="1380" spans="1:9" x14ac:dyDescent="0.25">
      <c r="A1380" s="204" t="s">
        <v>1432</v>
      </c>
      <c r="B1380" s="9" t="str">
        <f t="shared" si="42"/>
        <v>40161000</v>
      </c>
      <c r="C1380" s="9" t="str">
        <f>VLOOKUP(B1380,COA!A:B,2,FALSE)</f>
        <v>Sales for Resale Billed</v>
      </c>
      <c r="D1380" s="338" t="str">
        <f t="shared" si="43"/>
        <v>C466</v>
      </c>
      <c r="E1380" s="338" t="s">
        <v>6918</v>
      </c>
      <c r="F1380" s="338" t="s">
        <v>69</v>
      </c>
      <c r="G1380" s="338">
        <v>0</v>
      </c>
      <c r="H1380" s="204" t="s">
        <v>1396</v>
      </c>
      <c r="I1380" s="204" t="s">
        <v>7436</v>
      </c>
    </row>
    <row r="1381" spans="1:9" x14ac:dyDescent="0.25">
      <c r="A1381" s="204" t="s">
        <v>1433</v>
      </c>
      <c r="B1381" s="9" t="str">
        <f t="shared" si="42"/>
        <v>40161050</v>
      </c>
      <c r="C1381" s="9" t="str">
        <f>VLOOKUP(B1381,COA!A:B,2,FALSE)</f>
        <v>Sales for Resale Billed Interco</v>
      </c>
      <c r="D1381" s="338" t="str">
        <f t="shared" si="43"/>
        <v>C467</v>
      </c>
      <c r="E1381" s="338" t="s">
        <v>6918</v>
      </c>
      <c r="F1381" s="338" t="s">
        <v>69</v>
      </c>
      <c r="G1381" s="338">
        <v>0</v>
      </c>
      <c r="H1381" s="204" t="s">
        <v>1396</v>
      </c>
      <c r="I1381" s="204" t="s">
        <v>7437</v>
      </c>
    </row>
    <row r="1382" spans="1:9" x14ac:dyDescent="0.25">
      <c r="A1382" s="204" t="s">
        <v>1434</v>
      </c>
      <c r="B1382" s="9" t="str">
        <f t="shared" si="42"/>
        <v>40161100</v>
      </c>
      <c r="C1382" s="9" t="str">
        <f>VLOOKUP(B1382,COA!A:B,2,FALSE)</f>
        <v>Sales for Resale Billed Surcharge</v>
      </c>
      <c r="D1382" s="338" t="str">
        <f t="shared" si="43"/>
        <v>C466</v>
      </c>
      <c r="E1382" s="338" t="s">
        <v>6918</v>
      </c>
      <c r="F1382" s="338" t="s">
        <v>69</v>
      </c>
      <c r="G1382" s="338">
        <v>0</v>
      </c>
      <c r="H1382" s="204" t="s">
        <v>1396</v>
      </c>
      <c r="I1382" s="204" t="s">
        <v>7436</v>
      </c>
    </row>
    <row r="1383" spans="1:9" x14ac:dyDescent="0.25">
      <c r="A1383" s="204" t="s">
        <v>1435</v>
      </c>
      <c r="B1383" s="9" t="str">
        <f t="shared" si="42"/>
        <v>40161200</v>
      </c>
      <c r="C1383" s="9" t="str">
        <f>VLOOKUP(B1383,COA!A:B,2,FALSE)</f>
        <v>Sales for Resale Billed DSIC</v>
      </c>
      <c r="D1383" s="338" t="str">
        <f t="shared" si="43"/>
        <v>C466</v>
      </c>
      <c r="E1383" s="338" t="s">
        <v>6918</v>
      </c>
      <c r="F1383" s="338" t="s">
        <v>69</v>
      </c>
      <c r="G1383" s="338">
        <v>0</v>
      </c>
      <c r="H1383" s="204" t="s">
        <v>1396</v>
      </c>
      <c r="I1383" s="204" t="s">
        <v>7436</v>
      </c>
    </row>
    <row r="1384" spans="1:9" x14ac:dyDescent="0.25">
      <c r="A1384" s="204" t="s">
        <v>1436</v>
      </c>
      <c r="B1384" s="9" t="str">
        <f t="shared" si="42"/>
        <v>40161250</v>
      </c>
      <c r="C1384" s="9" t="str">
        <f>VLOOKUP(B1384,COA!A:B,2,FALSE)</f>
        <v>Sales for Resale Billed DSIC Interco</v>
      </c>
      <c r="D1384" s="338" t="str">
        <f t="shared" si="43"/>
        <v>C466</v>
      </c>
      <c r="E1384" s="338" t="s">
        <v>6918</v>
      </c>
      <c r="F1384" s="338" t="s">
        <v>69</v>
      </c>
      <c r="G1384" s="338">
        <v>0</v>
      </c>
      <c r="H1384" s="204" t="s">
        <v>1396</v>
      </c>
      <c r="I1384" s="204" t="s">
        <v>7436</v>
      </c>
    </row>
    <row r="1385" spans="1:9" x14ac:dyDescent="0.25">
      <c r="A1385" s="204" t="s">
        <v>1437</v>
      </c>
      <c r="B1385" s="9" t="str">
        <f t="shared" si="42"/>
        <v>40161400</v>
      </c>
      <c r="C1385" s="9" t="str">
        <f>VLOOKUP(B1385,COA!A:B,2,FALSE)</f>
        <v>Sales for Resale Billed Non-Rev Stabil Mechanism</v>
      </c>
      <c r="D1385" s="338" t="str">
        <f t="shared" si="43"/>
        <v>C466</v>
      </c>
      <c r="E1385" s="338" t="s">
        <v>6918</v>
      </c>
      <c r="F1385" s="338" t="s">
        <v>69</v>
      </c>
      <c r="G1385" s="338">
        <v>0</v>
      </c>
      <c r="H1385" s="204" t="s">
        <v>1396</v>
      </c>
      <c r="I1385" s="204" t="s">
        <v>7436</v>
      </c>
    </row>
    <row r="1386" spans="1:9" x14ac:dyDescent="0.25">
      <c r="A1386" s="204" t="s">
        <v>1438</v>
      </c>
      <c r="B1386" s="9" t="str">
        <f t="shared" si="42"/>
        <v>40162000</v>
      </c>
      <c r="C1386" s="9" t="str">
        <f>VLOOKUP(B1386,COA!A:B,2,FALSE)</f>
        <v>Sales for Resale Unbilled</v>
      </c>
      <c r="D1386" s="338" t="str">
        <f t="shared" si="43"/>
        <v>C466</v>
      </c>
      <c r="E1386" s="338" t="s">
        <v>6918</v>
      </c>
      <c r="F1386" s="338" t="s">
        <v>69</v>
      </c>
      <c r="G1386" s="338">
        <v>0</v>
      </c>
      <c r="H1386" s="204" t="s">
        <v>1396</v>
      </c>
      <c r="I1386" s="204" t="s">
        <v>7436</v>
      </c>
    </row>
    <row r="1387" spans="1:9" x14ac:dyDescent="0.25">
      <c r="A1387" s="204" t="s">
        <v>1439</v>
      </c>
      <c r="B1387" s="9" t="str">
        <f t="shared" si="42"/>
        <v>40171000</v>
      </c>
      <c r="C1387" s="9" t="str">
        <f>VLOOKUP(B1387,COA!A:B,2,FALSE)</f>
        <v>Misc Sales Billed</v>
      </c>
      <c r="D1387" s="338" t="str">
        <f t="shared" si="43"/>
        <v>C474</v>
      </c>
      <c r="E1387" s="338" t="s">
        <v>6918</v>
      </c>
      <c r="F1387" s="338" t="s">
        <v>7</v>
      </c>
      <c r="G1387" s="338">
        <v>0</v>
      </c>
      <c r="H1387" s="204" t="s">
        <v>1396</v>
      </c>
      <c r="I1387" s="204" t="s">
        <v>7438</v>
      </c>
    </row>
    <row r="1388" spans="1:9" x14ac:dyDescent="0.25">
      <c r="A1388" s="204" t="s">
        <v>1440</v>
      </c>
      <c r="B1388" s="9" t="str">
        <f t="shared" si="42"/>
        <v>40171100</v>
      </c>
      <c r="C1388" s="9" t="str">
        <f>VLOOKUP(B1388,COA!A:B,2,FALSE)</f>
        <v>Misc Sales Billed Surcharge</v>
      </c>
      <c r="D1388" s="338" t="str">
        <f t="shared" si="43"/>
        <v>C474</v>
      </c>
      <c r="E1388" s="338" t="s">
        <v>6918</v>
      </c>
      <c r="F1388" s="338" t="s">
        <v>7</v>
      </c>
      <c r="G1388" s="338">
        <v>0</v>
      </c>
      <c r="H1388" s="204" t="s">
        <v>1396</v>
      </c>
      <c r="I1388" s="204" t="s">
        <v>7438</v>
      </c>
    </row>
    <row r="1389" spans="1:9" x14ac:dyDescent="0.25">
      <c r="A1389" s="204" t="s">
        <v>1441</v>
      </c>
      <c r="B1389" s="9" t="str">
        <f t="shared" si="42"/>
        <v>40171200</v>
      </c>
      <c r="C1389" s="9" t="str">
        <f>VLOOKUP(B1389,COA!A:B,2,FALSE)</f>
        <v>Misc Sales Billed DSIC</v>
      </c>
      <c r="D1389" s="338" t="str">
        <f t="shared" si="43"/>
        <v>C5221</v>
      </c>
      <c r="E1389" s="338" t="s">
        <v>6918</v>
      </c>
      <c r="F1389" s="338" t="s">
        <v>7</v>
      </c>
      <c r="G1389" s="338">
        <v>0</v>
      </c>
      <c r="H1389" s="204" t="s">
        <v>1396</v>
      </c>
      <c r="I1389" s="204" t="s">
        <v>7439</v>
      </c>
    </row>
    <row r="1390" spans="1:9" x14ac:dyDescent="0.25">
      <c r="A1390" s="204" t="s">
        <v>1442</v>
      </c>
      <c r="B1390" s="9" t="str">
        <f t="shared" si="42"/>
        <v>40171300</v>
      </c>
      <c r="C1390" s="9" t="str">
        <f>VLOOKUP(B1390,COA!A:B,2,FALSE)</f>
        <v>Misc Sales Billed Unmetered</v>
      </c>
      <c r="D1390" s="338" t="str">
        <f t="shared" si="43"/>
        <v>C474</v>
      </c>
      <c r="E1390" s="338" t="s">
        <v>6918</v>
      </c>
      <c r="F1390" s="338" t="s">
        <v>7</v>
      </c>
      <c r="G1390" s="338">
        <v>0</v>
      </c>
      <c r="H1390" s="204" t="s">
        <v>1396</v>
      </c>
      <c r="I1390" s="204" t="s">
        <v>7438</v>
      </c>
    </row>
    <row r="1391" spans="1:9" x14ac:dyDescent="0.25">
      <c r="A1391" s="204" t="s">
        <v>1443</v>
      </c>
      <c r="B1391" s="9" t="str">
        <f t="shared" ref="B1391:B1453" si="44">RIGHT(A1391,8)</f>
        <v>40171400</v>
      </c>
      <c r="C1391" s="9" t="str">
        <f>VLOOKUP(B1391,COA!A:B,2,FALSE)</f>
        <v>Misc Sales Billed Non-Rev Stabil Mechanism</v>
      </c>
      <c r="D1391" s="338" t="str">
        <f t="shared" si="43"/>
        <v>C474</v>
      </c>
      <c r="E1391" s="338" t="s">
        <v>6918</v>
      </c>
      <c r="F1391" s="338" t="s">
        <v>7</v>
      </c>
      <c r="G1391" s="338">
        <v>0</v>
      </c>
      <c r="H1391" s="204" t="s">
        <v>1396</v>
      </c>
      <c r="I1391" s="204" t="s">
        <v>7438</v>
      </c>
    </row>
    <row r="1392" spans="1:9" x14ac:dyDescent="0.25">
      <c r="A1392" s="204" t="s">
        <v>1445</v>
      </c>
      <c r="B1392" s="9" t="str">
        <f t="shared" si="44"/>
        <v>40172000</v>
      </c>
      <c r="C1392" s="9" t="str">
        <f>VLOOKUP(B1392,COA!A:B,2,FALSE)</f>
        <v>Misc Sales Unbilled</v>
      </c>
      <c r="D1392" s="338" t="str">
        <f t="shared" si="43"/>
        <v>C474</v>
      </c>
      <c r="E1392" s="338" t="s">
        <v>6918</v>
      </c>
      <c r="F1392" s="338" t="s">
        <v>7</v>
      </c>
      <c r="G1392" s="338">
        <v>0</v>
      </c>
      <c r="H1392" s="204" t="s">
        <v>1396</v>
      </c>
      <c r="I1392" s="204" t="s">
        <v>7438</v>
      </c>
    </row>
    <row r="1393" spans="1:9" x14ac:dyDescent="0.25">
      <c r="A1393" s="204" t="s">
        <v>1446</v>
      </c>
      <c r="B1393" s="9" t="str">
        <f t="shared" si="44"/>
        <v>40175100</v>
      </c>
      <c r="C1393" s="9" t="str">
        <f>VLOOKUP(B1393,COA!A:B,2,FALSE)</f>
        <v>Misc Sales ORCOM Errors</v>
      </c>
      <c r="D1393" s="338" t="str">
        <f t="shared" si="43"/>
        <v>C474</v>
      </c>
      <c r="E1393" s="338" t="s">
        <v>6918</v>
      </c>
      <c r="F1393" s="338" t="s">
        <v>7</v>
      </c>
      <c r="G1393" s="338">
        <v>0</v>
      </c>
      <c r="H1393" s="204" t="s">
        <v>1396</v>
      </c>
      <c r="I1393" s="204" t="s">
        <v>7438</v>
      </c>
    </row>
    <row r="1394" spans="1:9" x14ac:dyDescent="0.25">
      <c r="A1394" s="204" t="s">
        <v>1447</v>
      </c>
      <c r="B1394" s="9" t="str">
        <f t="shared" si="44"/>
        <v>40180100</v>
      </c>
      <c r="C1394" s="9" t="str">
        <f>VLOOKUP(B1394,COA!A:B,2,FALSE)</f>
        <v>Other Water Revenue - Temp Service</v>
      </c>
      <c r="D1394" s="338" t="str">
        <f t="shared" si="43"/>
        <v>C471</v>
      </c>
      <c r="E1394" s="338" t="s">
        <v>6918</v>
      </c>
      <c r="F1394" s="338" t="s">
        <v>7</v>
      </c>
      <c r="G1394" s="338">
        <v>0</v>
      </c>
      <c r="H1394" s="204" t="s">
        <v>1396</v>
      </c>
      <c r="I1394" s="204" t="s">
        <v>7440</v>
      </c>
    </row>
    <row r="1395" spans="1:9" x14ac:dyDescent="0.25">
      <c r="A1395" s="204" t="s">
        <v>1448</v>
      </c>
      <c r="B1395" s="9" t="str">
        <f t="shared" si="44"/>
        <v>40180200</v>
      </c>
      <c r="C1395" s="9" t="str">
        <f>VLOOKUP(B1395,COA!A:B,2,FALSE)</f>
        <v>Other Water Revenue - Conservation</v>
      </c>
      <c r="D1395" s="338" t="str">
        <f t="shared" si="43"/>
        <v>C472</v>
      </c>
      <c r="E1395" s="338" t="s">
        <v>6918</v>
      </c>
      <c r="F1395" s="338" t="s">
        <v>7</v>
      </c>
      <c r="G1395" s="338">
        <v>0</v>
      </c>
      <c r="H1395" s="204" t="s">
        <v>1396</v>
      </c>
      <c r="I1395" s="204" t="s">
        <v>7441</v>
      </c>
    </row>
    <row r="1396" spans="1:9" x14ac:dyDescent="0.25">
      <c r="A1396" s="204" t="s">
        <v>1449</v>
      </c>
      <c r="B1396" s="9" t="str">
        <f t="shared" si="44"/>
        <v>40180300</v>
      </c>
      <c r="C1396" s="9" t="str">
        <f>VLOOKUP(B1396,COA!A:B,2,FALSE)</f>
        <v>Other Water Revenue - Amort Def CIAC</v>
      </c>
      <c r="D1396" s="338" t="str">
        <f t="shared" si="43"/>
        <v>C474</v>
      </c>
      <c r="E1396" s="338" t="s">
        <v>6918</v>
      </c>
      <c r="F1396" s="338" t="s">
        <v>7</v>
      </c>
      <c r="G1396" s="338">
        <v>0</v>
      </c>
      <c r="H1396" s="204" t="s">
        <v>1396</v>
      </c>
      <c r="I1396" s="204" t="s">
        <v>7438</v>
      </c>
    </row>
    <row r="1397" spans="1:9" x14ac:dyDescent="0.25">
      <c r="A1397" s="204" t="s">
        <v>1450</v>
      </c>
      <c r="B1397" s="9" t="str">
        <f t="shared" si="44"/>
        <v>40189900</v>
      </c>
      <c r="C1397" s="9" t="str">
        <f>VLOOKUP(B1397,COA!A:B,2,FALSE)</f>
        <v>Other Water Revenue</v>
      </c>
      <c r="D1397" s="338" t="str">
        <f t="shared" si="43"/>
        <v>C474</v>
      </c>
      <c r="E1397" s="338" t="s">
        <v>6918</v>
      </c>
      <c r="F1397" s="338" t="s">
        <v>7</v>
      </c>
      <c r="G1397" s="338">
        <v>0</v>
      </c>
      <c r="H1397" s="204" t="s">
        <v>1396</v>
      </c>
      <c r="I1397" s="204" t="s">
        <v>7438</v>
      </c>
    </row>
    <row r="1398" spans="1:9" x14ac:dyDescent="0.25">
      <c r="A1398" s="204" t="s">
        <v>1451</v>
      </c>
      <c r="B1398" s="9" t="str">
        <f t="shared" si="44"/>
        <v>40211000</v>
      </c>
      <c r="C1398" s="9" t="str">
        <f>VLOOKUP(B1398,COA!A:B,2,FALSE)</f>
        <v>Domestic WW Service Billed</v>
      </c>
      <c r="D1398" s="338" t="str">
        <f t="shared" si="43"/>
        <v>C5221</v>
      </c>
      <c r="E1398" s="338" t="s">
        <v>6919</v>
      </c>
      <c r="F1398" s="338" t="s">
        <v>6910</v>
      </c>
      <c r="G1398" s="338">
        <v>0</v>
      </c>
      <c r="H1398" s="204" t="s">
        <v>1396</v>
      </c>
      <c r="I1398" s="204" t="s">
        <v>7439</v>
      </c>
    </row>
    <row r="1399" spans="1:9" x14ac:dyDescent="0.25">
      <c r="A1399" s="204" t="s">
        <v>1452</v>
      </c>
      <c r="B1399" s="9" t="str">
        <f t="shared" si="44"/>
        <v>40211001</v>
      </c>
      <c r="C1399" s="9" t="str">
        <f>VLOOKUP(B1399,COA!A:B,2,FALSE)</f>
        <v>Domestic WW Service Billed Bimonthly</v>
      </c>
      <c r="D1399" s="338" t="str">
        <f t="shared" si="43"/>
        <v>C5221</v>
      </c>
      <c r="E1399" s="338" t="s">
        <v>6919</v>
      </c>
      <c r="F1399" s="338" t="s">
        <v>6910</v>
      </c>
      <c r="G1399" s="338">
        <v>0</v>
      </c>
      <c r="H1399" s="204" t="s">
        <v>1396</v>
      </c>
      <c r="I1399" s="204" t="s">
        <v>7439</v>
      </c>
    </row>
    <row r="1400" spans="1:9" x14ac:dyDescent="0.25">
      <c r="A1400" s="204" t="s">
        <v>1453</v>
      </c>
      <c r="B1400" s="9" t="str">
        <f t="shared" si="44"/>
        <v>40211100</v>
      </c>
      <c r="C1400" s="9" t="str">
        <f>VLOOKUP(B1400,COA!A:B,2,FALSE)</f>
        <v>Domestic WW Service Billed Surcharge</v>
      </c>
      <c r="D1400" s="338" t="str">
        <f t="shared" si="43"/>
        <v>C5221</v>
      </c>
      <c r="E1400" s="338" t="s">
        <v>6919</v>
      </c>
      <c r="F1400" s="338" t="s">
        <v>6910</v>
      </c>
      <c r="G1400" s="338">
        <v>0</v>
      </c>
      <c r="H1400" s="204" t="s">
        <v>1396</v>
      </c>
      <c r="I1400" s="204" t="s">
        <v>7439</v>
      </c>
    </row>
    <row r="1401" spans="1:9" x14ac:dyDescent="0.25">
      <c r="A1401" s="204" t="s">
        <v>1454</v>
      </c>
      <c r="B1401" s="9" t="str">
        <f t="shared" si="44"/>
        <v>40211200</v>
      </c>
      <c r="C1401" s="9" t="str">
        <f>VLOOKUP(B1401,COA!A:B,2,FALSE)</f>
        <v>Domestic WW Service Billed DSIC</v>
      </c>
      <c r="D1401" s="338" t="str">
        <f t="shared" si="43"/>
        <v>C5221</v>
      </c>
      <c r="E1401" s="338" t="s">
        <v>6919</v>
      </c>
      <c r="F1401" s="338" t="s">
        <v>6910</v>
      </c>
      <c r="G1401" s="338">
        <v>0</v>
      </c>
      <c r="H1401" s="204" t="s">
        <v>1396</v>
      </c>
      <c r="I1401" s="204" t="s">
        <v>7439</v>
      </c>
    </row>
    <row r="1402" spans="1:9" x14ac:dyDescent="0.25">
      <c r="A1402" s="204" t="s">
        <v>1455</v>
      </c>
      <c r="B1402" s="9" t="str">
        <f t="shared" si="44"/>
        <v>40211300</v>
      </c>
      <c r="C1402" s="9" t="str">
        <f>VLOOKUP(B1402,COA!A:B,2,FALSE)</f>
        <v>Domestic WW Service Billed CGCR</v>
      </c>
      <c r="D1402" s="338" t="str">
        <f t="shared" si="43"/>
        <v>C5221</v>
      </c>
      <c r="E1402" s="338" t="s">
        <v>6919</v>
      </c>
      <c r="F1402" s="338" t="s">
        <v>6910</v>
      </c>
      <c r="G1402" s="338">
        <v>0</v>
      </c>
      <c r="H1402" s="204" t="s">
        <v>1396</v>
      </c>
      <c r="I1402" s="204" t="s">
        <v>7439</v>
      </c>
    </row>
    <row r="1403" spans="1:9" x14ac:dyDescent="0.25">
      <c r="A1403" s="204" t="s">
        <v>1456</v>
      </c>
      <c r="B1403" s="9" t="str">
        <f t="shared" si="44"/>
        <v>40211400</v>
      </c>
      <c r="C1403" s="9" t="str">
        <f>VLOOKUP(B1403,COA!A:B,2,FALSE)</f>
        <v>Domestic WW Service Billed Non-RevStabil Mechanism</v>
      </c>
      <c r="D1403" s="338" t="str">
        <f t="shared" si="43"/>
        <v>C5221</v>
      </c>
      <c r="E1403" s="338" t="s">
        <v>6919</v>
      </c>
      <c r="F1403" s="338" t="s">
        <v>6910</v>
      </c>
      <c r="G1403" s="338">
        <v>0</v>
      </c>
      <c r="H1403" s="204" t="s">
        <v>1396</v>
      </c>
      <c r="I1403" s="204" t="s">
        <v>7439</v>
      </c>
    </row>
    <row r="1404" spans="1:9" x14ac:dyDescent="0.25">
      <c r="A1404" s="204" t="s">
        <v>1457</v>
      </c>
      <c r="B1404" s="9" t="str">
        <f t="shared" si="44"/>
        <v>40212000</v>
      </c>
      <c r="C1404" s="9" t="str">
        <f>VLOOKUP(B1404,COA!A:B,2,FALSE)</f>
        <v>Domestic WW Service Unbilled</v>
      </c>
      <c r="D1404" s="338" t="str">
        <f t="shared" si="43"/>
        <v>C5221</v>
      </c>
      <c r="E1404" s="338" t="s">
        <v>6919</v>
      </c>
      <c r="F1404" s="338" t="s">
        <v>6910</v>
      </c>
      <c r="G1404" s="338">
        <v>0</v>
      </c>
      <c r="H1404" s="204" t="s">
        <v>1396</v>
      </c>
      <c r="I1404" s="204" t="s">
        <v>7439</v>
      </c>
    </row>
    <row r="1405" spans="1:9" x14ac:dyDescent="0.25">
      <c r="A1405" s="204" t="s">
        <v>1458</v>
      </c>
      <c r="B1405" s="9" t="str">
        <f t="shared" si="44"/>
        <v>40221000</v>
      </c>
      <c r="C1405" s="9" t="str">
        <f>VLOOKUP(B1405,COA!A:B,2,FALSE)</f>
        <v>Commerical WW Service Billed</v>
      </c>
      <c r="D1405" s="338" t="str">
        <f t="shared" si="43"/>
        <v>C5222</v>
      </c>
      <c r="E1405" s="338" t="s">
        <v>6919</v>
      </c>
      <c r="F1405" s="338" t="s">
        <v>6911</v>
      </c>
      <c r="G1405" s="338">
        <v>0</v>
      </c>
      <c r="H1405" s="204" t="s">
        <v>1396</v>
      </c>
      <c r="I1405" s="204" t="s">
        <v>7442</v>
      </c>
    </row>
    <row r="1406" spans="1:9" x14ac:dyDescent="0.25">
      <c r="A1406" s="204" t="s">
        <v>1459</v>
      </c>
      <c r="B1406" s="9" t="str">
        <f t="shared" si="44"/>
        <v>40221100</v>
      </c>
      <c r="C1406" s="9" t="str">
        <f>VLOOKUP(B1406,COA!A:B,2,FALSE)</f>
        <v>Commerical WW Service Billed Surcharge</v>
      </c>
      <c r="D1406" s="338" t="str">
        <f t="shared" si="43"/>
        <v>C5222</v>
      </c>
      <c r="E1406" s="338" t="s">
        <v>6919</v>
      </c>
      <c r="F1406" s="338" t="s">
        <v>6911</v>
      </c>
      <c r="G1406" s="338">
        <v>0</v>
      </c>
      <c r="H1406" s="204" t="s">
        <v>1396</v>
      </c>
      <c r="I1406" s="204" t="s">
        <v>7442</v>
      </c>
    </row>
    <row r="1407" spans="1:9" x14ac:dyDescent="0.25">
      <c r="A1407" s="204" t="s">
        <v>1460</v>
      </c>
      <c r="B1407" s="9" t="str">
        <f t="shared" si="44"/>
        <v>40221200</v>
      </c>
      <c r="C1407" s="9" t="str">
        <f>VLOOKUP(B1407,COA!A:B,2,FALSE)</f>
        <v>Commercial WW Service Billed DSIC</v>
      </c>
      <c r="D1407" s="338" t="str">
        <f t="shared" si="43"/>
        <v>C5221</v>
      </c>
      <c r="E1407" s="338" t="s">
        <v>6919</v>
      </c>
      <c r="F1407" s="338" t="s">
        <v>6911</v>
      </c>
      <c r="G1407" s="338">
        <v>0</v>
      </c>
      <c r="H1407" s="204" t="s">
        <v>1396</v>
      </c>
      <c r="I1407" s="204" t="s">
        <v>7439</v>
      </c>
    </row>
    <row r="1408" spans="1:9" x14ac:dyDescent="0.25">
      <c r="A1408" s="204" t="s">
        <v>1461</v>
      </c>
      <c r="B1408" s="9" t="str">
        <f t="shared" si="44"/>
        <v>40221300</v>
      </c>
      <c r="C1408" s="9" t="str">
        <f>VLOOKUP(B1408,COA!A:B,2,FALSE)</f>
        <v>Commerical WW Service Billed CGCR</v>
      </c>
      <c r="D1408" s="338" t="str">
        <f t="shared" si="43"/>
        <v>C5222</v>
      </c>
      <c r="E1408" s="338" t="s">
        <v>6919</v>
      </c>
      <c r="F1408" s="338" t="s">
        <v>6911</v>
      </c>
      <c r="G1408" s="338">
        <v>0</v>
      </c>
      <c r="H1408" s="204" t="s">
        <v>1396</v>
      </c>
      <c r="I1408" s="204" t="s">
        <v>7442</v>
      </c>
    </row>
    <row r="1409" spans="1:9" x14ac:dyDescent="0.25">
      <c r="A1409" s="204" t="s">
        <v>1462</v>
      </c>
      <c r="B1409" s="9" t="str">
        <f t="shared" si="44"/>
        <v>40221400</v>
      </c>
      <c r="C1409" s="9" t="str">
        <f>VLOOKUP(B1409,COA!A:B,2,FALSE)</f>
        <v>Commercial WW ServiceBilled Non-RevStabilMechanism</v>
      </c>
      <c r="D1409" s="338" t="str">
        <f t="shared" si="43"/>
        <v>C5221</v>
      </c>
      <c r="E1409" s="338" t="s">
        <v>6919</v>
      </c>
      <c r="F1409" s="338" t="s">
        <v>6911</v>
      </c>
      <c r="G1409" s="338">
        <v>0</v>
      </c>
      <c r="H1409" s="204" t="s">
        <v>1396</v>
      </c>
      <c r="I1409" s="204" t="s">
        <v>7439</v>
      </c>
    </row>
    <row r="1410" spans="1:9" x14ac:dyDescent="0.25">
      <c r="A1410" s="204" t="s">
        <v>1463</v>
      </c>
      <c r="B1410" s="9" t="str">
        <f t="shared" si="44"/>
        <v>40222000</v>
      </c>
      <c r="C1410" s="9" t="str">
        <f>VLOOKUP(B1410,COA!A:B,2,FALSE)</f>
        <v>Commercial WW Service Unbilled</v>
      </c>
      <c r="D1410" s="338" t="str">
        <f t="shared" si="43"/>
        <v>C5222</v>
      </c>
      <c r="E1410" s="338" t="s">
        <v>6919</v>
      </c>
      <c r="F1410" s="338" t="s">
        <v>6911</v>
      </c>
      <c r="G1410" s="338">
        <v>0</v>
      </c>
      <c r="H1410" s="204" t="s">
        <v>1396</v>
      </c>
      <c r="I1410" s="204" t="s">
        <v>7442</v>
      </c>
    </row>
    <row r="1411" spans="1:9" x14ac:dyDescent="0.25">
      <c r="A1411" s="204" t="s">
        <v>1464</v>
      </c>
      <c r="B1411" s="9" t="str">
        <f t="shared" si="44"/>
        <v>40231000</v>
      </c>
      <c r="C1411" s="9" t="str">
        <f>VLOOKUP(B1411,COA!A:B,2,FALSE)</f>
        <v>Industrial WW Service Billed</v>
      </c>
      <c r="D1411" s="338" t="str">
        <f t="shared" si="43"/>
        <v>C5223</v>
      </c>
      <c r="E1411" s="338" t="s">
        <v>6919</v>
      </c>
      <c r="F1411" s="338" t="s">
        <v>6912</v>
      </c>
      <c r="G1411" s="338">
        <v>0</v>
      </c>
      <c r="H1411" s="204" t="s">
        <v>1396</v>
      </c>
      <c r="I1411" s="204" t="s">
        <v>7443</v>
      </c>
    </row>
    <row r="1412" spans="1:9" x14ac:dyDescent="0.25">
      <c r="A1412" s="204" t="s">
        <v>1465</v>
      </c>
      <c r="B1412" s="9" t="str">
        <f t="shared" si="44"/>
        <v>40231100</v>
      </c>
      <c r="C1412" s="9" t="str">
        <f>VLOOKUP(B1412,COA!A:B,2,FALSE)</f>
        <v>Industrial WW Service Billed Surcharge</v>
      </c>
      <c r="D1412" s="338" t="str">
        <f t="shared" si="43"/>
        <v>C5223</v>
      </c>
      <c r="E1412" s="338" t="s">
        <v>6919</v>
      </c>
      <c r="F1412" s="338" t="s">
        <v>6912</v>
      </c>
      <c r="G1412" s="338">
        <v>0</v>
      </c>
      <c r="H1412" s="204" t="s">
        <v>1396</v>
      </c>
      <c r="I1412" s="204" t="s">
        <v>7443</v>
      </c>
    </row>
    <row r="1413" spans="1:9" x14ac:dyDescent="0.25">
      <c r="A1413" s="204" t="s">
        <v>1466</v>
      </c>
      <c r="B1413" s="9" t="str">
        <f t="shared" si="44"/>
        <v>40231200</v>
      </c>
      <c r="C1413" s="9" t="str">
        <f>VLOOKUP(B1413,COA!A:B,2,FALSE)</f>
        <v>Industrial WW Service Billed DSIC</v>
      </c>
      <c r="D1413" s="338" t="str">
        <f t="shared" si="43"/>
        <v>C5221</v>
      </c>
      <c r="E1413" s="338" t="s">
        <v>6919</v>
      </c>
      <c r="F1413" s="338" t="s">
        <v>6912</v>
      </c>
      <c r="G1413" s="338">
        <v>0</v>
      </c>
      <c r="H1413" s="204" t="s">
        <v>1396</v>
      </c>
      <c r="I1413" s="204" t="s">
        <v>7439</v>
      </c>
    </row>
    <row r="1414" spans="1:9" x14ac:dyDescent="0.25">
      <c r="A1414" s="204" t="s">
        <v>1467</v>
      </c>
      <c r="B1414" s="9" t="str">
        <f t="shared" si="44"/>
        <v>40231300</v>
      </c>
      <c r="C1414" s="9" t="str">
        <f>VLOOKUP(B1414,COA!A:B,2,FALSE)</f>
        <v>Industrial WW Service Billed CGCR</v>
      </c>
      <c r="D1414" s="338" t="str">
        <f t="shared" si="43"/>
        <v>C5223</v>
      </c>
      <c r="E1414" s="338" t="s">
        <v>6919</v>
      </c>
      <c r="F1414" s="338" t="s">
        <v>6912</v>
      </c>
      <c r="G1414" s="338">
        <v>0</v>
      </c>
      <c r="H1414" s="204" t="s">
        <v>1396</v>
      </c>
      <c r="I1414" s="204" t="s">
        <v>7443</v>
      </c>
    </row>
    <row r="1415" spans="1:9" x14ac:dyDescent="0.25">
      <c r="A1415" s="204" t="s">
        <v>1468</v>
      </c>
      <c r="B1415" s="9" t="str">
        <f t="shared" si="44"/>
        <v>40231400</v>
      </c>
      <c r="C1415" s="9" t="str">
        <f>VLOOKUP(B1415,COA!A:B,2,FALSE)</f>
        <v>Industrial WW ServiceBilled Non-RevStabilMechanism</v>
      </c>
      <c r="D1415" s="338" t="str">
        <f t="shared" si="43"/>
        <v>C5221</v>
      </c>
      <c r="E1415" s="338" t="s">
        <v>6919</v>
      </c>
      <c r="F1415" s="338" t="s">
        <v>6912</v>
      </c>
      <c r="G1415" s="338">
        <v>0</v>
      </c>
      <c r="H1415" s="204" t="s">
        <v>1396</v>
      </c>
      <c r="I1415" s="204" t="s">
        <v>7439</v>
      </c>
    </row>
    <row r="1416" spans="1:9" x14ac:dyDescent="0.25">
      <c r="A1416" s="204" t="s">
        <v>1469</v>
      </c>
      <c r="B1416" s="9" t="str">
        <f t="shared" si="44"/>
        <v>40232000</v>
      </c>
      <c r="C1416" s="9" t="str">
        <f>VLOOKUP(B1416,COA!A:B,2,FALSE)</f>
        <v>Industrial WW Service Unbilled</v>
      </c>
      <c r="D1416" s="338" t="str">
        <f t="shared" si="43"/>
        <v>C5223</v>
      </c>
      <c r="E1416" s="338" t="s">
        <v>6919</v>
      </c>
      <c r="F1416" s="338" t="s">
        <v>6912</v>
      </c>
      <c r="G1416" s="338">
        <v>0</v>
      </c>
      <c r="H1416" s="204" t="s">
        <v>1396</v>
      </c>
      <c r="I1416" s="204" t="s">
        <v>7443</v>
      </c>
    </row>
    <row r="1417" spans="1:9" x14ac:dyDescent="0.25">
      <c r="A1417" s="204" t="s">
        <v>1470</v>
      </c>
      <c r="B1417" s="9" t="str">
        <f t="shared" si="44"/>
        <v>40238000</v>
      </c>
      <c r="C1417" s="9" t="str">
        <f>VLOOKUP(B1417,COA!A:B,2,FALSE)</f>
        <v>Accrued Revenue Stabilization WW</v>
      </c>
      <c r="D1417" s="338" t="str">
        <f t="shared" si="43"/>
        <v>C4611</v>
      </c>
      <c r="E1417" s="338" t="s">
        <v>6919</v>
      </c>
      <c r="F1417" s="338" t="s">
        <v>6913</v>
      </c>
      <c r="G1417" s="338">
        <v>0</v>
      </c>
      <c r="H1417" s="204" t="s">
        <v>1396</v>
      </c>
      <c r="I1417" s="204" t="s">
        <v>7429</v>
      </c>
    </row>
    <row r="1418" spans="1:9" x14ac:dyDescent="0.25">
      <c r="A1418" s="204" t="s">
        <v>1471</v>
      </c>
      <c r="B1418" s="9" t="str">
        <f t="shared" si="44"/>
        <v>40251000</v>
      </c>
      <c r="C1418" s="9" t="str">
        <f>VLOOKUP(B1418,COA!A:B,2,FALSE)</f>
        <v>Public Authority WW Service Billed</v>
      </c>
      <c r="D1418" s="338" t="str">
        <f t="shared" si="43"/>
        <v>C5224</v>
      </c>
      <c r="E1418" s="338" t="s">
        <v>6919</v>
      </c>
      <c r="F1418" s="338" t="s">
        <v>6914</v>
      </c>
      <c r="G1418" s="338">
        <v>0</v>
      </c>
      <c r="H1418" s="204" t="s">
        <v>1396</v>
      </c>
      <c r="I1418" s="204" t="s">
        <v>7444</v>
      </c>
    </row>
    <row r="1419" spans="1:9" x14ac:dyDescent="0.25">
      <c r="A1419" s="204" t="s">
        <v>1472</v>
      </c>
      <c r="B1419" s="9" t="str">
        <f t="shared" si="44"/>
        <v>40251100</v>
      </c>
      <c r="C1419" s="9" t="str">
        <f>VLOOKUP(B1419,COA!A:B,2,FALSE)</f>
        <v>Public Authority WW Service Billed Surcharge</v>
      </c>
      <c r="D1419" s="338" t="str">
        <f t="shared" ref="D1419:D1482" si="45">+I1419</f>
        <v>C5224</v>
      </c>
      <c r="E1419" s="338" t="s">
        <v>6919</v>
      </c>
      <c r="F1419" s="338" t="s">
        <v>6914</v>
      </c>
      <c r="G1419" s="338">
        <v>0</v>
      </c>
      <c r="H1419" s="204" t="s">
        <v>1396</v>
      </c>
      <c r="I1419" s="204" t="s">
        <v>7444</v>
      </c>
    </row>
    <row r="1420" spans="1:9" x14ac:dyDescent="0.25">
      <c r="A1420" s="204" t="s">
        <v>1473</v>
      </c>
      <c r="B1420" s="9" t="str">
        <f t="shared" si="44"/>
        <v>40251200</v>
      </c>
      <c r="C1420" s="9" t="str">
        <f>VLOOKUP(B1420,COA!A:B,2,FALSE)</f>
        <v>Public Authority WW Service Billed DSIC</v>
      </c>
      <c r="D1420" s="338" t="str">
        <f t="shared" si="45"/>
        <v>C5221</v>
      </c>
      <c r="E1420" s="338" t="s">
        <v>6919</v>
      </c>
      <c r="F1420" s="338" t="s">
        <v>6914</v>
      </c>
      <c r="G1420" s="338">
        <v>0</v>
      </c>
      <c r="H1420" s="204" t="s">
        <v>1396</v>
      </c>
      <c r="I1420" s="204" t="s">
        <v>7439</v>
      </c>
    </row>
    <row r="1421" spans="1:9" x14ac:dyDescent="0.25">
      <c r="A1421" s="204" t="s">
        <v>1474</v>
      </c>
      <c r="B1421" s="9" t="str">
        <f t="shared" si="44"/>
        <v>40251300</v>
      </c>
      <c r="C1421" s="9" t="str">
        <f>VLOOKUP(B1421,COA!A:B,2,FALSE)</f>
        <v>Public Authority WW Service Billed CGCR</v>
      </c>
      <c r="D1421" s="338" t="str">
        <f t="shared" si="45"/>
        <v>C5224</v>
      </c>
      <c r="E1421" s="338" t="s">
        <v>6919</v>
      </c>
      <c r="F1421" s="338" t="s">
        <v>6914</v>
      </c>
      <c r="G1421" s="338">
        <v>0</v>
      </c>
      <c r="H1421" s="204" t="s">
        <v>1396</v>
      </c>
      <c r="I1421" s="204" t="s">
        <v>7444</v>
      </c>
    </row>
    <row r="1422" spans="1:9" x14ac:dyDescent="0.25">
      <c r="A1422" s="204" t="s">
        <v>1475</v>
      </c>
      <c r="B1422" s="9" t="str">
        <f t="shared" si="44"/>
        <v>40251400</v>
      </c>
      <c r="C1422" s="9" t="str">
        <f>VLOOKUP(B1422,COA!A:B,2,FALSE)</f>
        <v>Public AuthorityWW ServiceBilled Non-RevStabilMech</v>
      </c>
      <c r="D1422" s="338" t="str">
        <f t="shared" si="45"/>
        <v>C5221</v>
      </c>
      <c r="E1422" s="338" t="s">
        <v>6919</v>
      </c>
      <c r="F1422" s="338" t="s">
        <v>6914</v>
      </c>
      <c r="G1422" s="338">
        <v>0</v>
      </c>
      <c r="H1422" s="204" t="s">
        <v>1396</v>
      </c>
      <c r="I1422" s="204" t="s">
        <v>7439</v>
      </c>
    </row>
    <row r="1423" spans="1:9" x14ac:dyDescent="0.25">
      <c r="A1423" s="204" t="s">
        <v>1476</v>
      </c>
      <c r="B1423" s="9" t="str">
        <f t="shared" si="44"/>
        <v>40252000</v>
      </c>
      <c r="C1423" s="9" t="str">
        <f>VLOOKUP(B1423,COA!A:B,2,FALSE)</f>
        <v>Public Authority WW Service Unbilled</v>
      </c>
      <c r="D1423" s="338" t="str">
        <f t="shared" si="45"/>
        <v>C5224</v>
      </c>
      <c r="E1423" s="338" t="s">
        <v>6919</v>
      </c>
      <c r="F1423" s="338" t="s">
        <v>6914</v>
      </c>
      <c r="G1423" s="338">
        <v>0</v>
      </c>
      <c r="H1423" s="204" t="s">
        <v>1396</v>
      </c>
      <c r="I1423" s="204" t="s">
        <v>7444</v>
      </c>
    </row>
    <row r="1424" spans="1:9" x14ac:dyDescent="0.25">
      <c r="A1424" s="204" t="s">
        <v>1477</v>
      </c>
      <c r="B1424" s="9" t="str">
        <f t="shared" si="44"/>
        <v>40261200</v>
      </c>
      <c r="C1424" s="9" t="str">
        <f>VLOOKUP(B1424,COA!A:B,2,FALSE)</f>
        <v>Sale for Resale WW Service Billed DSIC</v>
      </c>
      <c r="D1424" s="338" t="str">
        <f t="shared" si="45"/>
        <v>C5221</v>
      </c>
      <c r="E1424" s="338" t="s">
        <v>6919</v>
      </c>
      <c r="F1424" s="338" t="s">
        <v>6915</v>
      </c>
      <c r="G1424" s="338">
        <v>0</v>
      </c>
      <c r="H1424" s="204" t="s">
        <v>1396</v>
      </c>
      <c r="I1424" s="204" t="s">
        <v>7439</v>
      </c>
    </row>
    <row r="1425" spans="1:10" x14ac:dyDescent="0.25">
      <c r="A1425" s="204" t="s">
        <v>1478</v>
      </c>
      <c r="B1425" s="9" t="str">
        <f t="shared" si="44"/>
        <v>40261400</v>
      </c>
      <c r="C1425" s="9" t="str">
        <f>VLOOKUP(B1425,COA!A:B,2,FALSE)</f>
        <v>Sales for Resale WW Billed Non-Rev StabilMechanism</v>
      </c>
      <c r="D1425" s="338" t="str">
        <f t="shared" si="45"/>
        <v>C5221</v>
      </c>
      <c r="E1425" s="338" t="s">
        <v>6919</v>
      </c>
      <c r="F1425" s="338" t="s">
        <v>6915</v>
      </c>
      <c r="G1425" s="338">
        <v>0</v>
      </c>
      <c r="H1425" s="204" t="s">
        <v>1396</v>
      </c>
      <c r="I1425" s="204" t="s">
        <v>7439</v>
      </c>
    </row>
    <row r="1426" spans="1:10" x14ac:dyDescent="0.25">
      <c r="A1426" s="204" t="s">
        <v>1479</v>
      </c>
      <c r="B1426" s="9" t="str">
        <f t="shared" si="44"/>
        <v>40271000</v>
      </c>
      <c r="C1426" s="9" t="str">
        <f>VLOOKUP(B1426,COA!A:B,2,FALSE)</f>
        <v>Misc WW Service Billed</v>
      </c>
      <c r="D1426" s="338" t="str">
        <f t="shared" si="45"/>
        <v>C5224</v>
      </c>
      <c r="E1426" s="338" t="s">
        <v>6919</v>
      </c>
      <c r="F1426" s="338" t="s">
        <v>6913</v>
      </c>
      <c r="G1426" s="338">
        <v>0</v>
      </c>
      <c r="H1426" s="204" t="s">
        <v>1396</v>
      </c>
      <c r="I1426" s="204" t="s">
        <v>7444</v>
      </c>
    </row>
    <row r="1427" spans="1:10" x14ac:dyDescent="0.25">
      <c r="A1427" s="204" t="s">
        <v>1480</v>
      </c>
      <c r="B1427" s="9" t="str">
        <f t="shared" si="44"/>
        <v>40271100</v>
      </c>
      <c r="C1427" s="9" t="str">
        <f>VLOOKUP(B1427,COA!A:B,2,FALSE)</f>
        <v>Misc WW Service Billed Surcharge</v>
      </c>
      <c r="D1427" s="338" t="str">
        <f t="shared" si="45"/>
        <v>C5224</v>
      </c>
      <c r="E1427" s="338" t="s">
        <v>6919</v>
      </c>
      <c r="F1427" s="338" t="s">
        <v>6913</v>
      </c>
      <c r="G1427" s="338">
        <v>0</v>
      </c>
      <c r="H1427" s="204" t="s">
        <v>1396</v>
      </c>
      <c r="I1427" s="204" t="s">
        <v>7444</v>
      </c>
    </row>
    <row r="1428" spans="1:10" x14ac:dyDescent="0.25">
      <c r="A1428" s="204" t="s">
        <v>1481</v>
      </c>
      <c r="B1428" s="9" t="str">
        <f t="shared" si="44"/>
        <v>40271200</v>
      </c>
      <c r="C1428" s="9" t="str">
        <f>VLOOKUP(B1428,COA!A:B,2,FALSE)</f>
        <v>Misc Sales WW Service Billed DSIC</v>
      </c>
      <c r="D1428" s="338" t="str">
        <f t="shared" si="45"/>
        <v>C5221</v>
      </c>
      <c r="E1428" s="338" t="s">
        <v>6919</v>
      </c>
      <c r="F1428" s="338" t="s">
        <v>6913</v>
      </c>
      <c r="G1428" s="338">
        <v>0</v>
      </c>
      <c r="H1428" s="204" t="s">
        <v>1396</v>
      </c>
      <c r="I1428" s="204" t="s">
        <v>7439</v>
      </c>
      <c r="J1428" s="205"/>
    </row>
    <row r="1429" spans="1:10" x14ac:dyDescent="0.25">
      <c r="A1429" s="204" t="s">
        <v>1482</v>
      </c>
      <c r="B1429" s="9" t="str">
        <f t="shared" si="44"/>
        <v>40271300</v>
      </c>
      <c r="C1429" s="9" t="str">
        <f>VLOOKUP(B1429,COA!A:B,2,FALSE)</f>
        <v>Misc WW Service Billed CGCR</v>
      </c>
      <c r="D1429" s="338" t="str">
        <f t="shared" si="45"/>
        <v>C5224</v>
      </c>
      <c r="E1429" s="338" t="s">
        <v>6919</v>
      </c>
      <c r="F1429" s="338" t="s">
        <v>6913</v>
      </c>
      <c r="G1429" s="338">
        <v>0</v>
      </c>
      <c r="H1429" s="204" t="s">
        <v>1396</v>
      </c>
      <c r="I1429" s="204" t="s">
        <v>7444</v>
      </c>
      <c r="J1429" s="205"/>
    </row>
    <row r="1430" spans="1:10" x14ac:dyDescent="0.25">
      <c r="A1430" s="204" t="s">
        <v>1483</v>
      </c>
      <c r="B1430" s="9" t="str">
        <f t="shared" si="44"/>
        <v>40271400</v>
      </c>
      <c r="C1430" s="9" t="str">
        <f>VLOOKUP(B1430,COA!A:B,2,FALSE)</f>
        <v>Misc WW Service Billed Non-RevStabil Mechanism</v>
      </c>
      <c r="D1430" s="338" t="str">
        <f t="shared" si="45"/>
        <v>C5221</v>
      </c>
      <c r="E1430" s="338" t="s">
        <v>6919</v>
      </c>
      <c r="F1430" s="338" t="s">
        <v>6913</v>
      </c>
      <c r="G1430" s="338">
        <v>0</v>
      </c>
      <c r="H1430" s="204" t="s">
        <v>1396</v>
      </c>
      <c r="I1430" s="204" t="s">
        <v>7439</v>
      </c>
    </row>
    <row r="1431" spans="1:10" x14ac:dyDescent="0.25">
      <c r="A1431" s="204" t="s">
        <v>1484</v>
      </c>
      <c r="B1431" s="9" t="str">
        <f t="shared" si="44"/>
        <v>40272000</v>
      </c>
      <c r="C1431" s="9" t="str">
        <f>VLOOKUP(B1431,COA!A:B,2,FALSE)</f>
        <v>Misc WW Service Unbilled</v>
      </c>
      <c r="D1431" s="338" t="str">
        <f t="shared" si="45"/>
        <v>C5224</v>
      </c>
      <c r="E1431" s="338" t="s">
        <v>6919</v>
      </c>
      <c r="F1431" s="338" t="s">
        <v>6913</v>
      </c>
      <c r="G1431" s="338">
        <v>0</v>
      </c>
      <c r="H1431" s="204" t="s">
        <v>1396</v>
      </c>
      <c r="I1431" s="204" t="s">
        <v>7444</v>
      </c>
    </row>
    <row r="1432" spans="1:10" x14ac:dyDescent="0.25">
      <c r="A1432" s="204" t="s">
        <v>1485</v>
      </c>
      <c r="B1432" s="9" t="str">
        <f t="shared" si="44"/>
        <v>40280000</v>
      </c>
      <c r="C1432" s="9" t="str">
        <f>VLOOKUP(B1432,COA!A:B,2,FALSE)</f>
        <v>Other Revenue WW - Guaranteed</v>
      </c>
      <c r="D1432" s="338" t="str">
        <f t="shared" si="45"/>
        <v>C536</v>
      </c>
      <c r="E1432" s="338" t="s">
        <v>6919</v>
      </c>
      <c r="F1432" s="338" t="s">
        <v>6913</v>
      </c>
      <c r="G1432" s="338">
        <v>0</v>
      </c>
      <c r="H1432" s="204" t="s">
        <v>1396</v>
      </c>
      <c r="I1432" s="204" t="s">
        <v>7445</v>
      </c>
    </row>
    <row r="1433" spans="1:10" x14ac:dyDescent="0.25">
      <c r="A1433" s="204" t="s">
        <v>1486</v>
      </c>
      <c r="B1433" s="9" t="str">
        <f t="shared" si="44"/>
        <v>40290000</v>
      </c>
      <c r="C1433" s="9" t="str">
        <f>VLOOKUP(B1433,COA!A:B,2,FALSE)</f>
        <v>Other Revenue WW - Intercompany</v>
      </c>
      <c r="D1433" s="338" t="str">
        <f t="shared" si="45"/>
        <v>C536</v>
      </c>
      <c r="E1433" s="338" t="s">
        <v>6919</v>
      </c>
      <c r="F1433" s="338" t="s">
        <v>6913</v>
      </c>
      <c r="G1433" s="338">
        <v>0</v>
      </c>
      <c r="H1433" s="204" t="s">
        <v>1396</v>
      </c>
      <c r="I1433" s="204" t="s">
        <v>7445</v>
      </c>
    </row>
    <row r="1434" spans="1:10" x14ac:dyDescent="0.25">
      <c r="A1434" s="204" t="s">
        <v>1487</v>
      </c>
      <c r="B1434" s="9" t="str">
        <f t="shared" si="44"/>
        <v>40300100</v>
      </c>
      <c r="C1434" s="9" t="str">
        <f>VLOOKUP(B1434,COA!A:B,2,FALSE)</f>
        <v>Other Revenue - Interco</v>
      </c>
      <c r="D1434" s="338" t="str">
        <f t="shared" si="45"/>
        <v>C469</v>
      </c>
      <c r="E1434" s="338" t="s">
        <v>6918</v>
      </c>
      <c r="F1434" s="338" t="s">
        <v>7</v>
      </c>
      <c r="G1434" s="338">
        <v>0</v>
      </c>
      <c r="H1434" s="204" t="s">
        <v>1396</v>
      </c>
      <c r="I1434" s="204" t="s">
        <v>7446</v>
      </c>
    </row>
    <row r="1435" spans="1:10" x14ac:dyDescent="0.25">
      <c r="A1435" s="204" t="s">
        <v>1488</v>
      </c>
      <c r="B1435" s="9" t="str">
        <f t="shared" si="44"/>
        <v>40310000</v>
      </c>
      <c r="C1435" s="9" t="str">
        <f>VLOOKUP(B1435,COA!A:B,2,FALSE)</f>
        <v>Other Revenue - Guaranteed</v>
      </c>
      <c r="D1435" s="338" t="str">
        <f t="shared" si="45"/>
        <v>C469</v>
      </c>
      <c r="E1435" s="338" t="s">
        <v>6918</v>
      </c>
      <c r="F1435" s="338" t="s">
        <v>7</v>
      </c>
      <c r="G1435" s="338">
        <v>0</v>
      </c>
      <c r="H1435" s="204" t="s">
        <v>1396</v>
      </c>
      <c r="I1435" s="204" t="s">
        <v>7446</v>
      </c>
    </row>
    <row r="1436" spans="1:10" x14ac:dyDescent="0.25">
      <c r="A1436" s="204" t="s">
        <v>1489</v>
      </c>
      <c r="B1436" s="9" t="str">
        <f t="shared" si="44"/>
        <v>40310100</v>
      </c>
      <c r="C1436" s="9" t="str">
        <f>VLOOKUP(B1436,COA!A:B,2,FALSE)</f>
        <v>Other Revenue - Late Payment Charge</v>
      </c>
      <c r="D1436" s="338" t="str">
        <f t="shared" si="45"/>
        <v>C470</v>
      </c>
      <c r="E1436" s="338" t="s">
        <v>6918</v>
      </c>
      <c r="F1436" s="338" t="s">
        <v>71</v>
      </c>
      <c r="G1436" s="338">
        <v>0</v>
      </c>
      <c r="H1436" s="204" t="s">
        <v>1396</v>
      </c>
      <c r="I1436" s="204" t="s">
        <v>7447</v>
      </c>
    </row>
    <row r="1437" spans="1:10" x14ac:dyDescent="0.25">
      <c r="A1437" s="204" t="s">
        <v>1490</v>
      </c>
      <c r="B1437" s="9" t="str">
        <f t="shared" si="44"/>
        <v>40310200</v>
      </c>
      <c r="C1437" s="9" t="str">
        <f>VLOOKUP(B1437,COA!A:B,2,FALSE)</f>
        <v>Other Revenue - Rent</v>
      </c>
      <c r="D1437" s="338" t="str">
        <f t="shared" si="45"/>
        <v>C472</v>
      </c>
      <c r="E1437" s="338" t="s">
        <v>6918</v>
      </c>
      <c r="F1437" s="338" t="s">
        <v>6876</v>
      </c>
      <c r="G1437" s="338">
        <v>0</v>
      </c>
      <c r="H1437" s="204" t="s">
        <v>1396</v>
      </c>
      <c r="I1437" s="204" t="s">
        <v>7441</v>
      </c>
    </row>
    <row r="1438" spans="1:10" x14ac:dyDescent="0.25">
      <c r="A1438" s="204" t="s">
        <v>1491</v>
      </c>
      <c r="B1438" s="9" t="str">
        <f t="shared" si="44"/>
        <v>40310250</v>
      </c>
      <c r="C1438" s="9" t="str">
        <f>VLOOKUP(B1438,COA!A:B,2,FALSE)</f>
        <v>Other Revenue - Rent Interco</v>
      </c>
      <c r="D1438" s="338" t="str">
        <f t="shared" si="45"/>
        <v>C473</v>
      </c>
      <c r="E1438" s="338" t="s">
        <v>6918</v>
      </c>
      <c r="F1438" s="338" t="s">
        <v>6876</v>
      </c>
      <c r="G1438" s="338">
        <v>0</v>
      </c>
      <c r="H1438" s="204" t="s">
        <v>1396</v>
      </c>
      <c r="I1438" s="204" t="s">
        <v>7448</v>
      </c>
    </row>
    <row r="1439" spans="1:10" x14ac:dyDescent="0.25">
      <c r="A1439" s="204" t="s">
        <v>1492</v>
      </c>
      <c r="B1439" s="9" t="str">
        <f t="shared" si="44"/>
        <v>40310300</v>
      </c>
      <c r="C1439" s="9" t="str">
        <f>VLOOKUP(B1439,COA!A:B,2,FALSE)</f>
        <v>Other Revenue - Collection for Others</v>
      </c>
      <c r="D1439" s="338" t="str">
        <f t="shared" si="45"/>
        <v>C471</v>
      </c>
      <c r="E1439" s="338" t="s">
        <v>6918</v>
      </c>
      <c r="F1439" s="338" t="s">
        <v>71</v>
      </c>
      <c r="G1439" s="338">
        <v>0</v>
      </c>
      <c r="H1439" s="204" t="s">
        <v>1396</v>
      </c>
      <c r="I1439" s="204" t="s">
        <v>7440</v>
      </c>
    </row>
    <row r="1440" spans="1:10" x14ac:dyDescent="0.25">
      <c r="A1440" s="204" t="s">
        <v>1493</v>
      </c>
      <c r="B1440" s="9" t="str">
        <f t="shared" si="44"/>
        <v>40310400</v>
      </c>
      <c r="C1440" s="9" t="str">
        <f>VLOOKUP(B1440,COA!A:B,2,FALSE)</f>
        <v>Other Revenue - NSF Check Charge</v>
      </c>
      <c r="D1440" s="338" t="str">
        <f t="shared" si="45"/>
        <v>C471</v>
      </c>
      <c r="E1440" s="338" t="s">
        <v>6918</v>
      </c>
      <c r="F1440" s="338" t="s">
        <v>71</v>
      </c>
      <c r="G1440" s="338">
        <v>0</v>
      </c>
      <c r="H1440" s="204" t="s">
        <v>1396</v>
      </c>
      <c r="I1440" s="204" t="s">
        <v>7440</v>
      </c>
    </row>
    <row r="1441" spans="1:10" x14ac:dyDescent="0.25">
      <c r="A1441" s="204" t="s">
        <v>1494</v>
      </c>
      <c r="B1441" s="9" t="str">
        <f t="shared" si="44"/>
        <v>40310500</v>
      </c>
      <c r="C1441" s="9" t="str">
        <f>VLOOKUP(B1441,COA!A:B,2,FALSE)</f>
        <v>Other Revenue - Application/Initiation Fee</v>
      </c>
      <c r="D1441" s="338" t="str">
        <f t="shared" si="45"/>
        <v>C471</v>
      </c>
      <c r="E1441" s="338" t="s">
        <v>6918</v>
      </c>
      <c r="F1441" s="338" t="s">
        <v>71</v>
      </c>
      <c r="G1441" s="338">
        <v>0</v>
      </c>
      <c r="H1441" s="204" t="s">
        <v>1396</v>
      </c>
      <c r="I1441" s="204" t="s">
        <v>7440</v>
      </c>
    </row>
    <row r="1442" spans="1:10" x14ac:dyDescent="0.25">
      <c r="A1442" s="204" t="s">
        <v>1495</v>
      </c>
      <c r="B1442" s="9" t="str">
        <f t="shared" si="44"/>
        <v>40310600</v>
      </c>
      <c r="C1442" s="9" t="str">
        <f>VLOOKUP(B1442,COA!A:B,2,FALSE)</f>
        <v>Other Revenue - Usage Data</v>
      </c>
      <c r="D1442" s="338" t="str">
        <f t="shared" si="45"/>
        <v>C471</v>
      </c>
      <c r="E1442" s="338" t="s">
        <v>6918</v>
      </c>
      <c r="F1442" s="338" t="s">
        <v>71</v>
      </c>
      <c r="G1442" s="338">
        <v>0</v>
      </c>
      <c r="H1442" s="204" t="s">
        <v>1396</v>
      </c>
      <c r="I1442" s="204" t="s">
        <v>7440</v>
      </c>
    </row>
    <row r="1443" spans="1:10" x14ac:dyDescent="0.25">
      <c r="A1443" s="204" t="s">
        <v>1496</v>
      </c>
      <c r="B1443" s="9" t="str">
        <f t="shared" si="44"/>
        <v>40310700</v>
      </c>
      <c r="C1443" s="9" t="str">
        <f>VLOOKUP(B1443,COA!A:B,2,FALSE)</f>
        <v>Other Revenue - Reconnection Fee</v>
      </c>
      <c r="D1443" s="338" t="str">
        <f t="shared" si="45"/>
        <v>C471</v>
      </c>
      <c r="E1443" s="338" t="s">
        <v>6918</v>
      </c>
      <c r="F1443" s="338" t="s">
        <v>71</v>
      </c>
      <c r="G1443" s="338">
        <v>0</v>
      </c>
      <c r="H1443" s="204" t="s">
        <v>1396</v>
      </c>
      <c r="I1443" s="204" t="s">
        <v>7440</v>
      </c>
    </row>
    <row r="1444" spans="1:10" x14ac:dyDescent="0.25">
      <c r="A1444" s="204" t="s">
        <v>1497</v>
      </c>
      <c r="B1444" s="9" t="str">
        <f t="shared" si="44"/>
        <v>40310800</v>
      </c>
      <c r="C1444" s="9" t="str">
        <f>VLOOKUP(B1444,COA!A:B,2,FALSE)</f>
        <v>Other Revenue - Frozen Meter</v>
      </c>
      <c r="D1444" s="338" t="str">
        <f t="shared" si="45"/>
        <v>C471</v>
      </c>
      <c r="E1444" s="338" t="s">
        <v>6918</v>
      </c>
      <c r="F1444" s="338" t="s">
        <v>71</v>
      </c>
      <c r="G1444" s="338">
        <v>0</v>
      </c>
      <c r="H1444" s="204" t="s">
        <v>1396</v>
      </c>
      <c r="I1444" s="204" t="s">
        <v>7440</v>
      </c>
    </row>
    <row r="1445" spans="1:10" x14ac:dyDescent="0.25">
      <c r="A1445" s="204" t="s">
        <v>1498</v>
      </c>
      <c r="B1445" s="9" t="str">
        <f t="shared" si="44"/>
        <v>40310900</v>
      </c>
      <c r="C1445" s="9" t="str">
        <f>VLOOKUP(B1445,COA!A:B,2,FALSE)</f>
        <v>Other Revenue - CFO - CA PUC Surcharge</v>
      </c>
      <c r="D1445" s="338" t="str">
        <f t="shared" si="45"/>
        <v>C471</v>
      </c>
      <c r="E1445" s="338" t="s">
        <v>6918</v>
      </c>
      <c r="F1445" s="338" t="s">
        <v>71</v>
      </c>
      <c r="G1445" s="338">
        <v>0</v>
      </c>
      <c r="H1445" s="204" t="s">
        <v>1396</v>
      </c>
      <c r="I1445" s="204" t="s">
        <v>7440</v>
      </c>
    </row>
    <row r="1446" spans="1:10" x14ac:dyDescent="0.25">
      <c r="A1446" s="204" t="s">
        <v>1499</v>
      </c>
      <c r="B1446" s="9" t="str">
        <f t="shared" si="44"/>
        <v>40311600</v>
      </c>
      <c r="C1446" s="9" t="str">
        <f>VLOOKUP(B1446,COA!A:B,2,FALSE)</f>
        <v>Other Revenue - Storage Fees</v>
      </c>
      <c r="D1446" s="338" t="str">
        <f t="shared" si="45"/>
        <v>C472</v>
      </c>
      <c r="E1446" s="338" t="s">
        <v>6918</v>
      </c>
      <c r="F1446" s="338" t="s">
        <v>71</v>
      </c>
      <c r="G1446" s="338">
        <v>0</v>
      </c>
      <c r="H1446" s="204" t="s">
        <v>1396</v>
      </c>
      <c r="I1446" s="204" t="s">
        <v>7441</v>
      </c>
    </row>
    <row r="1447" spans="1:10" x14ac:dyDescent="0.25">
      <c r="A1447" s="204" t="s">
        <v>1500</v>
      </c>
      <c r="B1447" s="9" t="str">
        <f t="shared" si="44"/>
        <v>40313000</v>
      </c>
      <c r="C1447" s="9" t="str">
        <f>VLOOKUP(B1447,COA!A:B,2,FALSE)</f>
        <v>Other Revenue - After Hrs Charge</v>
      </c>
      <c r="D1447" s="338" t="str">
        <f t="shared" si="45"/>
        <v>C471</v>
      </c>
      <c r="E1447" s="338" t="s">
        <v>6918</v>
      </c>
      <c r="F1447" s="338" t="s">
        <v>71</v>
      </c>
      <c r="G1447" s="338">
        <v>0</v>
      </c>
      <c r="H1447" s="204" t="s">
        <v>1396</v>
      </c>
      <c r="I1447" s="204" t="s">
        <v>7440</v>
      </c>
    </row>
    <row r="1448" spans="1:10" x14ac:dyDescent="0.25">
      <c r="A1448" s="204" t="s">
        <v>1501</v>
      </c>
      <c r="B1448" s="9" t="str">
        <f t="shared" si="44"/>
        <v>40319900</v>
      </c>
      <c r="C1448" s="9" t="str">
        <f>VLOOKUP(B1448,COA!A:B,2,FALSE)</f>
        <v>Other Revenue - Misc Service</v>
      </c>
      <c r="D1448" s="338" t="str">
        <f t="shared" si="45"/>
        <v>C471</v>
      </c>
      <c r="E1448" s="338" t="s">
        <v>6918</v>
      </c>
      <c r="F1448" s="338" t="s">
        <v>71</v>
      </c>
      <c r="G1448" s="338">
        <v>0</v>
      </c>
      <c r="H1448" s="204" t="s">
        <v>1396</v>
      </c>
      <c r="I1448" s="204" t="s">
        <v>7440</v>
      </c>
    </row>
    <row r="1449" spans="1:10" x14ac:dyDescent="0.25">
      <c r="A1449" s="204" t="s">
        <v>1502</v>
      </c>
      <c r="B1449" s="9" t="str">
        <f t="shared" si="44"/>
        <v>40351100</v>
      </c>
      <c r="C1449" s="9" t="str">
        <f>VLOOKUP(B1449,COA!A:B,2,FALSE)</f>
        <v>Other Revenue WW - Late Payment Charge</v>
      </c>
      <c r="D1449" s="338" t="str">
        <f t="shared" si="45"/>
        <v>C532</v>
      </c>
      <c r="E1449" s="338" t="s">
        <v>6919</v>
      </c>
      <c r="F1449" s="338" t="s">
        <v>6916</v>
      </c>
      <c r="G1449" s="338">
        <v>0</v>
      </c>
      <c r="H1449" s="204" t="s">
        <v>1396</v>
      </c>
      <c r="I1449" s="204" t="s">
        <v>7449</v>
      </c>
    </row>
    <row r="1450" spans="1:10" x14ac:dyDescent="0.25">
      <c r="A1450" s="204" t="s">
        <v>1503</v>
      </c>
      <c r="B1450" s="9" t="str">
        <f t="shared" si="44"/>
        <v>40359900</v>
      </c>
      <c r="C1450" s="9" t="str">
        <f>VLOOKUP(B1450,COA!A:B,2,FALSE)</f>
        <v>Other Revenue WW - Misc Service</v>
      </c>
      <c r="D1450" s="338" t="str">
        <f t="shared" si="45"/>
        <v>C536</v>
      </c>
      <c r="E1450" s="338" t="s">
        <v>6919</v>
      </c>
      <c r="F1450" s="338" t="s">
        <v>6916</v>
      </c>
      <c r="G1450" s="338">
        <v>0</v>
      </c>
      <c r="H1450" s="204" t="s">
        <v>1396</v>
      </c>
      <c r="I1450" s="204" t="s">
        <v>7445</v>
      </c>
    </row>
    <row r="1451" spans="1:10" x14ac:dyDescent="0.25">
      <c r="A1451" s="204" t="s">
        <v>1504</v>
      </c>
      <c r="B1451" s="9" t="str">
        <f t="shared" si="44"/>
        <v>40399999</v>
      </c>
      <c r="C1451" s="9" t="str">
        <f>VLOOKUP(B1451,COA!A:B,2,FALSE)</f>
        <v>Leak Adjustment Revenue</v>
      </c>
      <c r="D1451" s="338" t="str">
        <f t="shared" si="45"/>
        <v>C469</v>
      </c>
      <c r="E1451" s="338" t="s">
        <v>64</v>
      </c>
      <c r="F1451" s="338" t="s">
        <v>6913</v>
      </c>
      <c r="G1451" s="338">
        <v>0</v>
      </c>
      <c r="H1451" s="204" t="s">
        <v>1396</v>
      </c>
      <c r="I1451" s="204" t="s">
        <v>7446</v>
      </c>
    </row>
    <row r="1452" spans="1:10" x14ac:dyDescent="0.25">
      <c r="A1452" s="204" t="s">
        <v>1505</v>
      </c>
      <c r="B1452" s="9" t="str">
        <f t="shared" si="44"/>
        <v>40999999</v>
      </c>
      <c r="C1452" s="9" t="str">
        <f>VLOOKUP(B1452,COA!A:B,2,FALSE)</f>
        <v>Revenue Conversion - CIS</v>
      </c>
      <c r="D1452" s="338" t="str">
        <f t="shared" si="45"/>
        <v>C536</v>
      </c>
      <c r="E1452" s="338" t="s">
        <v>64</v>
      </c>
      <c r="F1452" s="338" t="s">
        <v>6913</v>
      </c>
      <c r="G1452" s="338">
        <v>0</v>
      </c>
      <c r="H1452" s="204" t="s">
        <v>1396</v>
      </c>
      <c r="I1452" s="204" t="s">
        <v>7445</v>
      </c>
    </row>
    <row r="1453" spans="1:10" x14ac:dyDescent="0.25">
      <c r="A1453" s="204" t="s">
        <v>1506</v>
      </c>
      <c r="B1453" s="9" t="str">
        <f t="shared" si="44"/>
        <v>45000000</v>
      </c>
      <c r="C1453" s="9" t="str">
        <f>VLOOKUP(B1453,COA!A:B,2,FALSE)</f>
        <v>Service Company Revenue OPEX Interco</v>
      </c>
      <c r="D1453" s="338" t="str">
        <f t="shared" si="45"/>
        <v>C471</v>
      </c>
      <c r="E1453" s="338" t="s">
        <v>64</v>
      </c>
      <c r="G1453" s="338">
        <v>0</v>
      </c>
      <c r="H1453" s="204" t="s">
        <v>1396</v>
      </c>
      <c r="I1453" s="204" t="s">
        <v>7440</v>
      </c>
    </row>
    <row r="1454" spans="1:10" x14ac:dyDescent="0.25">
      <c r="A1454" s="204" t="s">
        <v>1507</v>
      </c>
      <c r="B1454" s="9" t="str">
        <f t="shared" ref="B1454:B1517" si="46">RIGHT(A1454,8)</f>
        <v>45000001</v>
      </c>
      <c r="C1454" s="9" t="str">
        <f>VLOOKUP(B1454,COA!A:B,2,FALSE)</f>
        <v>Service Company Revenue CAPEX Interco</v>
      </c>
      <c r="D1454" s="338" t="str">
        <f t="shared" si="45"/>
        <v>C471</v>
      </c>
      <c r="E1454" s="338" t="s">
        <v>64</v>
      </c>
      <c r="G1454" s="338">
        <v>0</v>
      </c>
      <c r="H1454" s="204" t="s">
        <v>1396</v>
      </c>
      <c r="I1454" s="204" t="s">
        <v>7440</v>
      </c>
    </row>
    <row r="1455" spans="1:10" x14ac:dyDescent="0.25">
      <c r="A1455" s="204" t="s">
        <v>1508</v>
      </c>
      <c r="B1455" s="9" t="str">
        <f t="shared" si="46"/>
        <v>45000002</v>
      </c>
      <c r="C1455" s="9" t="str">
        <f>VLOOKUP(B1455,COA!A:B,2,FALSE)</f>
        <v>Servco Company Revenue Market Based COs Interco</v>
      </c>
      <c r="D1455" s="338" t="str">
        <f t="shared" si="45"/>
        <v>C471</v>
      </c>
      <c r="E1455" s="338" t="s">
        <v>64</v>
      </c>
      <c r="G1455" s="338">
        <v>0</v>
      </c>
      <c r="H1455" s="204" t="s">
        <v>1396</v>
      </c>
      <c r="I1455" s="204" t="s">
        <v>7440</v>
      </c>
    </row>
    <row r="1456" spans="1:10" x14ac:dyDescent="0.25">
      <c r="A1456" s="204" t="s">
        <v>1509</v>
      </c>
      <c r="B1456" s="9" t="str">
        <f t="shared" si="46"/>
        <v>50100000</v>
      </c>
      <c r="C1456" s="9" t="str">
        <f>VLOOKUP(B1456,COA!A:B,2,FALSE)</f>
        <v>Labor Natural Account</v>
      </c>
      <c r="D1456" s="338" t="str">
        <f t="shared" si="45"/>
        <v>C6018</v>
      </c>
      <c r="E1456" s="338" t="s">
        <v>6900</v>
      </c>
      <c r="F1456" s="338" t="s">
        <v>6866</v>
      </c>
      <c r="G1456" s="338" t="s">
        <v>7143</v>
      </c>
      <c r="H1456" s="204" t="s">
        <v>77</v>
      </c>
      <c r="I1456" s="204" t="s">
        <v>7450</v>
      </c>
      <c r="J1456" s="205"/>
    </row>
    <row r="1457" spans="1:10" x14ac:dyDescent="0.25">
      <c r="A1457" s="204" t="s">
        <v>1510</v>
      </c>
      <c r="B1457" s="9" t="str">
        <f t="shared" si="46"/>
        <v>50100001</v>
      </c>
      <c r="C1457" s="9" t="str">
        <f>VLOOKUP(B1457,COA!A:B,2,FALSE)</f>
        <v>Labor Expense Accrual</v>
      </c>
      <c r="D1457" s="338" t="str">
        <f t="shared" si="45"/>
        <v>C6018</v>
      </c>
      <c r="E1457" s="338" t="s">
        <v>6900</v>
      </c>
      <c r="F1457" s="338" t="s">
        <v>6866</v>
      </c>
      <c r="G1457" s="338" t="s">
        <v>7143</v>
      </c>
      <c r="H1457" s="204" t="s">
        <v>77</v>
      </c>
      <c r="I1457" s="204" t="s">
        <v>7450</v>
      </c>
      <c r="J1457" s="205"/>
    </row>
    <row r="1458" spans="1:10" x14ac:dyDescent="0.25">
      <c r="A1458" s="204" t="s">
        <v>1511</v>
      </c>
      <c r="B1458" s="9" t="str">
        <f t="shared" si="46"/>
        <v>50100002</v>
      </c>
      <c r="C1458" s="9" t="str">
        <f>VLOOKUP(B1458,COA!A:B,2,FALSE)</f>
        <v>Labor Expense - Intercompany</v>
      </c>
      <c r="D1458" s="338" t="str">
        <f t="shared" si="45"/>
        <v>C6018</v>
      </c>
      <c r="E1458" s="338" t="s">
        <v>6900</v>
      </c>
      <c r="F1458" s="338" t="s">
        <v>6866</v>
      </c>
      <c r="G1458" s="338" t="s">
        <v>7143</v>
      </c>
      <c r="H1458" s="204" t="s">
        <v>77</v>
      </c>
      <c r="I1458" s="204" t="s">
        <v>7450</v>
      </c>
      <c r="J1458" s="205"/>
    </row>
    <row r="1459" spans="1:10" x14ac:dyDescent="0.25">
      <c r="A1459" s="204" t="s">
        <v>1512</v>
      </c>
      <c r="B1459" s="9" t="str">
        <f t="shared" si="46"/>
        <v>50101100</v>
      </c>
      <c r="C1459" s="9" t="str">
        <f>VLOOKUP(B1459,COA!A:B,2,FALSE)</f>
        <v>Labor Oper Source of Supply</v>
      </c>
      <c r="D1459" s="338" t="str">
        <f t="shared" si="45"/>
        <v>C6011</v>
      </c>
      <c r="E1459" s="338" t="s">
        <v>6900</v>
      </c>
      <c r="F1459" s="338" t="s">
        <v>23</v>
      </c>
      <c r="G1459" s="338" t="s">
        <v>7143</v>
      </c>
      <c r="H1459" s="204" t="s">
        <v>77</v>
      </c>
      <c r="I1459" s="204" t="s">
        <v>7451</v>
      </c>
      <c r="J1459" s="205"/>
    </row>
    <row r="1460" spans="1:10" x14ac:dyDescent="0.25">
      <c r="A1460" s="204" t="s">
        <v>1513</v>
      </c>
      <c r="B1460" s="9" t="str">
        <f t="shared" si="46"/>
        <v>50101105</v>
      </c>
      <c r="C1460" s="9" t="str">
        <f>VLOOKUP(B1460,COA!A:B,2,FALSE)</f>
        <v>Labor Oper Source of Supply - Super &amp; Eng</v>
      </c>
      <c r="D1460" s="338" t="str">
        <f t="shared" si="45"/>
        <v>C6011</v>
      </c>
      <c r="E1460" s="338" t="s">
        <v>6900</v>
      </c>
      <c r="F1460" s="338" t="s">
        <v>23</v>
      </c>
      <c r="G1460" s="338" t="s">
        <v>7143</v>
      </c>
      <c r="H1460" s="204" t="s">
        <v>77</v>
      </c>
      <c r="I1460" s="204" t="s">
        <v>7451</v>
      </c>
    </row>
    <row r="1461" spans="1:10" x14ac:dyDescent="0.25">
      <c r="A1461" s="204" t="s">
        <v>1514</v>
      </c>
      <c r="B1461" s="9" t="str">
        <f t="shared" si="46"/>
        <v>50101200</v>
      </c>
      <c r="C1461" s="9" t="str">
        <f>VLOOKUP(B1461,COA!A:B,2,FALSE)</f>
        <v>Labor Oper Pumping</v>
      </c>
      <c r="D1461" s="338" t="str">
        <f t="shared" si="45"/>
        <v>C6011</v>
      </c>
      <c r="E1461" s="338" t="s">
        <v>6900</v>
      </c>
      <c r="F1461" s="338" t="s">
        <v>6865</v>
      </c>
      <c r="G1461" s="338" t="s">
        <v>7143</v>
      </c>
      <c r="H1461" s="204" t="s">
        <v>77</v>
      </c>
      <c r="I1461" s="204" t="s">
        <v>7451</v>
      </c>
      <c r="J1461" s="205"/>
    </row>
    <row r="1462" spans="1:10" x14ac:dyDescent="0.25">
      <c r="A1462" s="204" t="s">
        <v>1515</v>
      </c>
      <c r="B1462" s="9" t="str">
        <f t="shared" si="46"/>
        <v>50101205</v>
      </c>
      <c r="C1462" s="9" t="str">
        <f>VLOOKUP(B1462,COA!A:B,2,FALSE)</f>
        <v>Labor Oper Pumping - Super &amp; Eng</v>
      </c>
      <c r="D1462" s="338" t="str">
        <f t="shared" si="45"/>
        <v>C6011</v>
      </c>
      <c r="E1462" s="338" t="s">
        <v>6900</v>
      </c>
      <c r="F1462" s="338" t="s">
        <v>6865</v>
      </c>
      <c r="G1462" s="338" t="s">
        <v>7143</v>
      </c>
      <c r="H1462" s="204" t="s">
        <v>77</v>
      </c>
      <c r="I1462" s="204" t="s">
        <v>7451</v>
      </c>
      <c r="J1462" s="205"/>
    </row>
    <row r="1463" spans="1:10" x14ac:dyDescent="0.25">
      <c r="A1463" s="204" t="s">
        <v>1516</v>
      </c>
      <c r="B1463" s="9" t="str">
        <f t="shared" si="46"/>
        <v>50101210</v>
      </c>
      <c r="C1463" s="9" t="str">
        <f>VLOOKUP(B1463,COA!A:B,2,FALSE)</f>
        <v>Labor Oper Pumping - Power Prod</v>
      </c>
      <c r="D1463" s="338" t="str">
        <f t="shared" si="45"/>
        <v>C6011</v>
      </c>
      <c r="E1463" s="338" t="s">
        <v>6900</v>
      </c>
      <c r="F1463" s="338" t="s">
        <v>6865</v>
      </c>
      <c r="G1463" s="338" t="s">
        <v>7143</v>
      </c>
      <c r="H1463" s="204" t="s">
        <v>77</v>
      </c>
      <c r="I1463" s="204" t="s">
        <v>7451</v>
      </c>
    </row>
    <row r="1464" spans="1:10" x14ac:dyDescent="0.25">
      <c r="A1464" s="204" t="s">
        <v>1517</v>
      </c>
      <c r="B1464" s="9" t="str">
        <f t="shared" si="46"/>
        <v>50101215</v>
      </c>
      <c r="C1464" s="9" t="str">
        <f>VLOOKUP(B1464,COA!A:B,2,FALSE)</f>
        <v>Labor Oper Pumping - Pump</v>
      </c>
      <c r="D1464" s="338" t="str">
        <f t="shared" si="45"/>
        <v>C6011</v>
      </c>
      <c r="E1464" s="338" t="s">
        <v>6900</v>
      </c>
      <c r="F1464" s="338" t="s">
        <v>6865</v>
      </c>
      <c r="G1464" s="338" t="s">
        <v>7143</v>
      </c>
      <c r="H1464" s="204" t="s">
        <v>77</v>
      </c>
      <c r="I1464" s="204" t="s">
        <v>7451</v>
      </c>
    </row>
    <row r="1465" spans="1:10" x14ac:dyDescent="0.25">
      <c r="A1465" s="204" t="s">
        <v>1518</v>
      </c>
      <c r="B1465" s="9" t="str">
        <f t="shared" si="46"/>
        <v>50101300</v>
      </c>
      <c r="C1465" s="9" t="str">
        <f>VLOOKUP(B1465,COA!A:B,2,FALSE)</f>
        <v>Labor Oper Water Treatment</v>
      </c>
      <c r="D1465" s="338" t="str">
        <f t="shared" si="45"/>
        <v>C6013</v>
      </c>
      <c r="E1465" s="338" t="s">
        <v>6900</v>
      </c>
      <c r="F1465" s="338" t="s">
        <v>9</v>
      </c>
      <c r="G1465" s="338" t="s">
        <v>7143</v>
      </c>
      <c r="H1465" s="204" t="s">
        <v>77</v>
      </c>
      <c r="I1465" s="204" t="s">
        <v>7452</v>
      </c>
    </row>
    <row r="1466" spans="1:10" x14ac:dyDescent="0.25">
      <c r="A1466" s="204" t="s">
        <v>1519</v>
      </c>
      <c r="B1466" s="9" t="str">
        <f t="shared" si="46"/>
        <v>50101305</v>
      </c>
      <c r="C1466" s="9" t="str">
        <f>VLOOKUP(B1466,COA!A:B,2,FALSE)</f>
        <v>Labor Oper Water Treatment - Super &amp; Eng</v>
      </c>
      <c r="D1466" s="338" t="str">
        <f t="shared" si="45"/>
        <v>C6013</v>
      </c>
      <c r="E1466" s="338" t="s">
        <v>6900</v>
      </c>
      <c r="F1466" s="338" t="s">
        <v>9</v>
      </c>
      <c r="G1466" s="338" t="s">
        <v>7143</v>
      </c>
      <c r="H1466" s="204" t="s">
        <v>77</v>
      </c>
      <c r="I1466" s="204" t="s">
        <v>7452</v>
      </c>
    </row>
    <row r="1467" spans="1:10" x14ac:dyDescent="0.25">
      <c r="A1467" s="204" t="s">
        <v>1520</v>
      </c>
      <c r="B1467" s="9" t="str">
        <f t="shared" si="46"/>
        <v>50101400</v>
      </c>
      <c r="C1467" s="9" t="str">
        <f>VLOOKUP(B1467,COA!A:B,2,FALSE)</f>
        <v>Labor Oper Transmission &amp; Distribution</v>
      </c>
      <c r="D1467" s="338" t="str">
        <f t="shared" si="45"/>
        <v>C6015</v>
      </c>
      <c r="E1467" s="338" t="s">
        <v>6900</v>
      </c>
      <c r="F1467" s="338" t="s">
        <v>6978</v>
      </c>
      <c r="G1467" s="338" t="s">
        <v>7143</v>
      </c>
      <c r="H1467" s="204" t="s">
        <v>77</v>
      </c>
      <c r="I1467" s="204" t="s">
        <v>7453</v>
      </c>
    </row>
    <row r="1468" spans="1:10" x14ac:dyDescent="0.25">
      <c r="A1468" s="204" t="s">
        <v>1521</v>
      </c>
      <c r="B1468" s="9" t="str">
        <f t="shared" si="46"/>
        <v>50101405</v>
      </c>
      <c r="C1468" s="9" t="str">
        <f>VLOOKUP(B1468,COA!A:B,2,FALSE)</f>
        <v>Labor Oper Trans &amp; Distr - Super &amp; Eng</v>
      </c>
      <c r="D1468" s="338" t="str">
        <f t="shared" si="45"/>
        <v>C6015</v>
      </c>
      <c r="E1468" s="338" t="s">
        <v>6900</v>
      </c>
      <c r="F1468" s="338" t="s">
        <v>6978</v>
      </c>
      <c r="G1468" s="338" t="s">
        <v>7143</v>
      </c>
      <c r="H1468" s="204" t="s">
        <v>77</v>
      </c>
      <c r="I1468" s="204" t="s">
        <v>7453</v>
      </c>
    </row>
    <row r="1469" spans="1:10" x14ac:dyDescent="0.25">
      <c r="A1469" s="204" t="s">
        <v>1522</v>
      </c>
      <c r="B1469" s="9" t="str">
        <f t="shared" si="46"/>
        <v>50101410</v>
      </c>
      <c r="C1469" s="9" t="str">
        <f>VLOOKUP(B1469,COA!A:B,2,FALSE)</f>
        <v>Labor Oper Trans &amp; Distr - Storage Facility</v>
      </c>
      <c r="D1469" s="338" t="str">
        <f t="shared" si="45"/>
        <v>C6015</v>
      </c>
      <c r="E1469" s="338" t="s">
        <v>6900</v>
      </c>
      <c r="F1469" s="338" t="s">
        <v>6959</v>
      </c>
      <c r="G1469" s="338" t="s">
        <v>7143</v>
      </c>
      <c r="H1469" s="204" t="s">
        <v>77</v>
      </c>
      <c r="I1469" s="204" t="s">
        <v>7453</v>
      </c>
    </row>
    <row r="1470" spans="1:10" x14ac:dyDescent="0.25">
      <c r="A1470" s="204" t="s">
        <v>1523</v>
      </c>
      <c r="B1470" s="9" t="str">
        <f t="shared" si="46"/>
        <v>50101415</v>
      </c>
      <c r="C1470" s="9" t="str">
        <f>VLOOKUP(B1470,COA!A:B,2,FALSE)</f>
        <v>Labor Oper Trans &amp; Distr - Lines</v>
      </c>
      <c r="D1470" s="338" t="str">
        <f t="shared" si="45"/>
        <v>C6015</v>
      </c>
      <c r="E1470" s="338" t="s">
        <v>6900</v>
      </c>
      <c r="F1470" s="338" t="s">
        <v>6982</v>
      </c>
      <c r="G1470" s="338" t="s">
        <v>7143</v>
      </c>
      <c r="H1470" s="204" t="s">
        <v>77</v>
      </c>
      <c r="I1470" s="204" t="s">
        <v>7453</v>
      </c>
    </row>
    <row r="1471" spans="1:10" x14ac:dyDescent="0.25">
      <c r="A1471" s="204" t="s">
        <v>1524</v>
      </c>
      <c r="B1471" s="9" t="str">
        <f t="shared" si="46"/>
        <v>50101420</v>
      </c>
      <c r="C1471" s="9" t="str">
        <f>VLOOKUP(B1471,COA!A:B,2,FALSE)</f>
        <v>Labor Oper Trans &amp; Distr - Meter</v>
      </c>
      <c r="D1471" s="338" t="str">
        <f t="shared" si="45"/>
        <v>C6015</v>
      </c>
      <c r="E1471" s="338" t="s">
        <v>6900</v>
      </c>
      <c r="F1471" s="338" t="s">
        <v>28</v>
      </c>
      <c r="G1471" s="338" t="s">
        <v>7143</v>
      </c>
      <c r="H1471" s="204" t="s">
        <v>77</v>
      </c>
      <c r="I1471" s="204" t="s">
        <v>7453</v>
      </c>
    </row>
    <row r="1472" spans="1:10" x14ac:dyDescent="0.25">
      <c r="A1472" s="204" t="s">
        <v>1525</v>
      </c>
      <c r="B1472" s="9" t="str">
        <f t="shared" si="46"/>
        <v>50101425</v>
      </c>
      <c r="C1472" s="9" t="str">
        <f>VLOOKUP(B1472,COA!A:B,2,FALSE)</f>
        <v>Labor Oper Trans &amp; Distr - Meter Install</v>
      </c>
      <c r="D1472" s="338" t="str">
        <f t="shared" si="45"/>
        <v>C6015</v>
      </c>
      <c r="E1472" s="338" t="s">
        <v>6900</v>
      </c>
      <c r="F1472" s="338" t="s">
        <v>28</v>
      </c>
      <c r="G1472" s="338" t="s">
        <v>7143</v>
      </c>
      <c r="H1472" s="204" t="s">
        <v>77</v>
      </c>
      <c r="I1472" s="204" t="s">
        <v>7453</v>
      </c>
    </row>
    <row r="1473" spans="1:10" x14ac:dyDescent="0.25">
      <c r="A1473" s="204" t="s">
        <v>1526</v>
      </c>
      <c r="B1473" s="9" t="str">
        <f t="shared" si="46"/>
        <v>50101500</v>
      </c>
      <c r="C1473" s="9" t="str">
        <f>VLOOKUP(B1473,COA!A:B,2,FALSE)</f>
        <v>Labor Oper Customer Accounting</v>
      </c>
      <c r="D1473" s="338" t="str">
        <f t="shared" si="45"/>
        <v>C6017</v>
      </c>
      <c r="E1473" s="338" t="s">
        <v>6900</v>
      </c>
      <c r="F1473" s="338" t="s">
        <v>6958</v>
      </c>
      <c r="G1473" s="338" t="s">
        <v>7143</v>
      </c>
      <c r="H1473" s="204" t="s">
        <v>77</v>
      </c>
      <c r="I1473" s="204" t="s">
        <v>7454</v>
      </c>
    </row>
    <row r="1474" spans="1:10" x14ac:dyDescent="0.25">
      <c r="A1474" s="204" t="s">
        <v>1527</v>
      </c>
      <c r="B1474" s="9" t="str">
        <f t="shared" si="46"/>
        <v>50101505</v>
      </c>
      <c r="C1474" s="9" t="str">
        <f>VLOOKUP(B1474,COA!A:B,2,FALSE)</f>
        <v>Labor Oper Customer Acctg - Super &amp; Eng</v>
      </c>
      <c r="D1474" s="338" t="str">
        <f t="shared" si="45"/>
        <v>C6017</v>
      </c>
      <c r="E1474" s="338" t="s">
        <v>6900</v>
      </c>
      <c r="F1474" s="338" t="s">
        <v>6958</v>
      </c>
      <c r="G1474" s="338" t="s">
        <v>7143</v>
      </c>
      <c r="H1474" s="204" t="s">
        <v>77</v>
      </c>
      <c r="I1474" s="204" t="s">
        <v>7454</v>
      </c>
    </row>
    <row r="1475" spans="1:10" x14ac:dyDescent="0.25">
      <c r="A1475" s="204" t="s">
        <v>1528</v>
      </c>
      <c r="B1475" s="9" t="str">
        <f t="shared" si="46"/>
        <v>50101510</v>
      </c>
      <c r="C1475" s="9" t="str">
        <f>VLOOKUP(B1475,COA!A:B,2,FALSE)</f>
        <v>Labor Oper Customer Acctg - Meter Read</v>
      </c>
      <c r="D1475" s="338" t="str">
        <f t="shared" si="45"/>
        <v>C6017</v>
      </c>
      <c r="E1475" s="338" t="s">
        <v>6900</v>
      </c>
      <c r="F1475" s="338" t="s">
        <v>6958</v>
      </c>
      <c r="G1475" s="338" t="s">
        <v>7143</v>
      </c>
      <c r="H1475" s="204" t="s">
        <v>77</v>
      </c>
      <c r="I1475" s="204" t="s">
        <v>7454</v>
      </c>
    </row>
    <row r="1476" spans="1:10" x14ac:dyDescent="0.25">
      <c r="A1476" s="204" t="s">
        <v>1529</v>
      </c>
      <c r="B1476" s="9" t="str">
        <f t="shared" si="46"/>
        <v>50101515</v>
      </c>
      <c r="C1476" s="9" t="str">
        <f>VLOOKUP(B1476,COA!A:B,2,FALSE)</f>
        <v>Labor Oper Customer Acctg - Cust Rec &amp; Coll</v>
      </c>
      <c r="D1476" s="338" t="str">
        <f t="shared" si="45"/>
        <v>C6017</v>
      </c>
      <c r="E1476" s="338" t="s">
        <v>6900</v>
      </c>
      <c r="F1476" s="338" t="s">
        <v>6958</v>
      </c>
      <c r="G1476" s="338" t="s">
        <v>7143</v>
      </c>
      <c r="H1476" s="204" t="s">
        <v>77</v>
      </c>
      <c r="I1476" s="204" t="s">
        <v>7454</v>
      </c>
      <c r="J1476" s="205"/>
    </row>
    <row r="1477" spans="1:10" x14ac:dyDescent="0.25">
      <c r="A1477" s="204" t="s">
        <v>1530</v>
      </c>
      <c r="B1477" s="9" t="str">
        <f t="shared" si="46"/>
        <v>50101520</v>
      </c>
      <c r="C1477" s="9" t="str">
        <f>VLOOKUP(B1477,COA!A:B,2,FALSE)</f>
        <v>Labor Oper Customer Acctg - Cust Serv &amp; Info</v>
      </c>
      <c r="D1477" s="338" t="str">
        <f t="shared" si="45"/>
        <v>C6017</v>
      </c>
      <c r="E1477" s="338" t="s">
        <v>6900</v>
      </c>
      <c r="F1477" s="338" t="s">
        <v>6958</v>
      </c>
      <c r="G1477" s="338" t="s">
        <v>7143</v>
      </c>
      <c r="H1477" s="204" t="s">
        <v>77</v>
      </c>
      <c r="I1477" s="204" t="s">
        <v>7454</v>
      </c>
      <c r="J1477" s="205"/>
    </row>
    <row r="1478" spans="1:10" x14ac:dyDescent="0.25">
      <c r="A1478" s="204" t="s">
        <v>1531</v>
      </c>
      <c r="B1478" s="9" t="str">
        <f t="shared" si="46"/>
        <v>50101600</v>
      </c>
      <c r="C1478" s="9" t="str">
        <f>VLOOKUP(B1478,COA!A:B,2,FALSE)</f>
        <v>Labor Oper Admin &amp; General</v>
      </c>
      <c r="D1478" s="338" t="str">
        <f t="shared" si="45"/>
        <v>C6018</v>
      </c>
      <c r="E1478" s="338" t="s">
        <v>6900</v>
      </c>
      <c r="F1478" s="338" t="s">
        <v>6866</v>
      </c>
      <c r="G1478" s="338" t="s">
        <v>7143</v>
      </c>
      <c r="H1478" s="204" t="s">
        <v>77</v>
      </c>
      <c r="I1478" s="204" t="s">
        <v>7450</v>
      </c>
    </row>
    <row r="1479" spans="1:10" x14ac:dyDescent="0.25">
      <c r="A1479" s="204" t="s">
        <v>1532</v>
      </c>
      <c r="B1479" s="9" t="str">
        <f t="shared" si="46"/>
        <v>50101601</v>
      </c>
      <c r="C1479" s="9" t="str">
        <f>VLOOKUP(B1479,COA!A:B,2,FALSE)</f>
        <v>Labor Oper Adm &amp; Gen - Director &amp; Officer</v>
      </c>
      <c r="D1479" s="338" t="str">
        <f t="shared" si="45"/>
        <v>C6038</v>
      </c>
      <c r="E1479" s="338" t="s">
        <v>6900</v>
      </c>
      <c r="F1479" s="338" t="s">
        <v>6866</v>
      </c>
      <c r="G1479" s="338" t="s">
        <v>7143</v>
      </c>
      <c r="H1479" s="204" t="s">
        <v>77</v>
      </c>
      <c r="I1479" s="204" t="s">
        <v>7455</v>
      </c>
    </row>
    <row r="1480" spans="1:10" x14ac:dyDescent="0.25">
      <c r="A1480" s="204" t="s">
        <v>1533</v>
      </c>
      <c r="B1480" s="9" t="str">
        <f t="shared" si="46"/>
        <v>50102100</v>
      </c>
      <c r="C1480" s="9" t="str">
        <f>VLOOKUP(B1480,COA!A:B,2,FALSE)</f>
        <v>Labor Maint Source of Supply</v>
      </c>
      <c r="D1480" s="338" t="str">
        <f t="shared" si="45"/>
        <v>C6012</v>
      </c>
      <c r="E1480" s="338" t="s">
        <v>8</v>
      </c>
      <c r="F1480" s="338" t="s">
        <v>23</v>
      </c>
      <c r="G1480" s="338" t="s">
        <v>7143</v>
      </c>
      <c r="H1480" s="204" t="s">
        <v>77</v>
      </c>
      <c r="I1480" s="204" t="s">
        <v>7456</v>
      </c>
    </row>
    <row r="1481" spans="1:10" x14ac:dyDescent="0.25">
      <c r="A1481" s="204" t="s">
        <v>1534</v>
      </c>
      <c r="B1481" s="9" t="str">
        <f t="shared" si="46"/>
        <v>50102105</v>
      </c>
      <c r="C1481" s="9" t="str">
        <f>VLOOKUP(B1481,COA!A:B,2,FALSE)</f>
        <v>Labor Maint Source of Supply - Super &amp; Eng</v>
      </c>
      <c r="D1481" s="338" t="str">
        <f t="shared" si="45"/>
        <v>C6012</v>
      </c>
      <c r="E1481" s="338" t="s">
        <v>8</v>
      </c>
      <c r="F1481" s="338" t="s">
        <v>23</v>
      </c>
      <c r="G1481" s="338" t="s">
        <v>7143</v>
      </c>
      <c r="H1481" s="204" t="s">
        <v>77</v>
      </c>
      <c r="I1481" s="204" t="s">
        <v>7456</v>
      </c>
    </row>
    <row r="1482" spans="1:10" x14ac:dyDescent="0.25">
      <c r="A1482" s="204" t="s">
        <v>1535</v>
      </c>
      <c r="B1482" s="9" t="str">
        <f t="shared" si="46"/>
        <v>50102110</v>
      </c>
      <c r="C1482" s="9" t="str">
        <f>VLOOKUP(B1482,COA!A:B,2,FALSE)</f>
        <v>Labor Maint Source of Supply - Struct &amp;Imp</v>
      </c>
      <c r="D1482" s="338" t="str">
        <f t="shared" si="45"/>
        <v>C6012</v>
      </c>
      <c r="E1482" s="338" t="s">
        <v>8</v>
      </c>
      <c r="F1482" s="338" t="s">
        <v>23</v>
      </c>
      <c r="G1482" s="338" t="s">
        <v>7143</v>
      </c>
      <c r="H1482" s="204" t="s">
        <v>77</v>
      </c>
      <c r="I1482" s="204" t="s">
        <v>7456</v>
      </c>
    </row>
    <row r="1483" spans="1:10" x14ac:dyDescent="0.25">
      <c r="A1483" s="204" t="s">
        <v>1536</v>
      </c>
      <c r="B1483" s="9" t="str">
        <f t="shared" si="46"/>
        <v>50102115</v>
      </c>
      <c r="C1483" s="9" t="str">
        <f>VLOOKUP(B1483,COA!A:B,2,FALSE)</f>
        <v>Labor Maint Source of Supply - Coll &amp; Imp</v>
      </c>
      <c r="D1483" s="338" t="str">
        <f t="shared" ref="D1483:D1546" si="47">+I1483</f>
        <v>C6012</v>
      </c>
      <c r="E1483" s="338" t="s">
        <v>8</v>
      </c>
      <c r="F1483" s="338" t="s">
        <v>23</v>
      </c>
      <c r="G1483" s="338" t="s">
        <v>7143</v>
      </c>
      <c r="H1483" s="204" t="s">
        <v>77</v>
      </c>
      <c r="I1483" s="204" t="s">
        <v>7456</v>
      </c>
    </row>
    <row r="1484" spans="1:10" x14ac:dyDescent="0.25">
      <c r="A1484" s="204" t="s">
        <v>1537</v>
      </c>
      <c r="B1484" s="9" t="str">
        <f t="shared" si="46"/>
        <v>50102120</v>
      </c>
      <c r="C1484" s="9" t="str">
        <f>VLOOKUP(B1484,COA!A:B,2,FALSE)</f>
        <v>Labor Maint Source of Supply - Lake</v>
      </c>
      <c r="D1484" s="338" t="str">
        <f t="shared" si="47"/>
        <v>C6012</v>
      </c>
      <c r="E1484" s="338" t="s">
        <v>8</v>
      </c>
      <c r="F1484" s="338" t="s">
        <v>23</v>
      </c>
      <c r="G1484" s="338" t="s">
        <v>7143</v>
      </c>
      <c r="H1484" s="204" t="s">
        <v>77</v>
      </c>
      <c r="I1484" s="204" t="s">
        <v>7456</v>
      </c>
    </row>
    <row r="1485" spans="1:10" x14ac:dyDescent="0.25">
      <c r="A1485" s="204" t="s">
        <v>1538</v>
      </c>
      <c r="B1485" s="9" t="str">
        <f t="shared" si="46"/>
        <v>50102125</v>
      </c>
      <c r="C1485" s="9" t="str">
        <f>VLOOKUP(B1485,COA!A:B,2,FALSE)</f>
        <v>Labor Maint Source of Supply - Wells</v>
      </c>
      <c r="D1485" s="338" t="str">
        <f t="shared" si="47"/>
        <v>C6012</v>
      </c>
      <c r="E1485" s="338" t="s">
        <v>8</v>
      </c>
      <c r="F1485" s="338" t="s">
        <v>23</v>
      </c>
      <c r="G1485" s="338" t="s">
        <v>7143</v>
      </c>
      <c r="H1485" s="204" t="s">
        <v>77</v>
      </c>
      <c r="I1485" s="204" t="s">
        <v>7456</v>
      </c>
    </row>
    <row r="1486" spans="1:10" x14ac:dyDescent="0.25">
      <c r="A1486" s="204" t="s">
        <v>1539</v>
      </c>
      <c r="B1486" s="9" t="str">
        <f t="shared" si="46"/>
        <v>50102130</v>
      </c>
      <c r="C1486" s="9" t="str">
        <f>VLOOKUP(B1486,COA!A:B,2,FALSE)</f>
        <v>Labor Maint Src of Supply-Infilt Galleries</v>
      </c>
      <c r="D1486" s="338" t="str">
        <f t="shared" si="47"/>
        <v>C6012</v>
      </c>
      <c r="E1486" s="338" t="s">
        <v>8</v>
      </c>
      <c r="F1486" s="338" t="s">
        <v>23</v>
      </c>
      <c r="G1486" s="338" t="s">
        <v>7143</v>
      </c>
      <c r="H1486" s="204" t="s">
        <v>77</v>
      </c>
      <c r="I1486" s="204" t="s">
        <v>7456</v>
      </c>
    </row>
    <row r="1487" spans="1:10" x14ac:dyDescent="0.25">
      <c r="A1487" s="204" t="s">
        <v>1540</v>
      </c>
      <c r="B1487" s="9" t="str">
        <f t="shared" si="46"/>
        <v>50102135</v>
      </c>
      <c r="C1487" s="9" t="str">
        <f>VLOOKUP(B1487,COA!A:B,2,FALSE)</f>
        <v>Labor Maint Src of Supply-Supply Mains</v>
      </c>
      <c r="D1487" s="338" t="str">
        <f t="shared" si="47"/>
        <v>C6012</v>
      </c>
      <c r="E1487" s="338" t="s">
        <v>8</v>
      </c>
      <c r="F1487" s="338" t="s">
        <v>23</v>
      </c>
      <c r="G1487" s="338" t="s">
        <v>7143</v>
      </c>
      <c r="H1487" s="204" t="s">
        <v>77</v>
      </c>
      <c r="I1487" s="204" t="s">
        <v>7456</v>
      </c>
    </row>
    <row r="1488" spans="1:10" x14ac:dyDescent="0.25">
      <c r="A1488" s="204" t="s">
        <v>1541</v>
      </c>
      <c r="B1488" s="9" t="str">
        <f t="shared" si="46"/>
        <v>50102200</v>
      </c>
      <c r="C1488" s="9" t="str">
        <f>VLOOKUP(B1488,COA!A:B,2,FALSE)</f>
        <v>Labor Maint Pumping</v>
      </c>
      <c r="D1488" s="338" t="str">
        <f t="shared" si="47"/>
        <v>C6012</v>
      </c>
      <c r="E1488" s="338" t="s">
        <v>8</v>
      </c>
      <c r="F1488" s="338" t="s">
        <v>6865</v>
      </c>
      <c r="G1488" s="338" t="s">
        <v>7143</v>
      </c>
      <c r="H1488" s="204" t="s">
        <v>77</v>
      </c>
      <c r="I1488" s="204" t="s">
        <v>7456</v>
      </c>
    </row>
    <row r="1489" spans="1:10" x14ac:dyDescent="0.25">
      <c r="A1489" s="204" t="s">
        <v>1542</v>
      </c>
      <c r="B1489" s="9" t="str">
        <f t="shared" si="46"/>
        <v>50102205</v>
      </c>
      <c r="C1489" s="9" t="str">
        <f>VLOOKUP(B1489,COA!A:B,2,FALSE)</f>
        <v>Labor Maint Pumping - Super &amp; Eng</v>
      </c>
      <c r="D1489" s="338" t="str">
        <f t="shared" si="47"/>
        <v>C6012</v>
      </c>
      <c r="E1489" s="338" t="s">
        <v>8</v>
      </c>
      <c r="F1489" s="338" t="s">
        <v>6865</v>
      </c>
      <c r="G1489" s="338" t="s">
        <v>7143</v>
      </c>
      <c r="H1489" s="204" t="s">
        <v>77</v>
      </c>
      <c r="I1489" s="204" t="s">
        <v>7456</v>
      </c>
    </row>
    <row r="1490" spans="1:10" x14ac:dyDescent="0.25">
      <c r="A1490" s="204" t="s">
        <v>1543</v>
      </c>
      <c r="B1490" s="9" t="str">
        <f t="shared" si="46"/>
        <v>50102210</v>
      </c>
      <c r="C1490" s="9" t="str">
        <f>VLOOKUP(B1490,COA!A:B,2,FALSE)</f>
        <v>Labor Maint Pumping - Struct &amp; Imp</v>
      </c>
      <c r="D1490" s="338" t="str">
        <f t="shared" si="47"/>
        <v>C6012</v>
      </c>
      <c r="E1490" s="338" t="s">
        <v>8</v>
      </c>
      <c r="F1490" s="338" t="s">
        <v>6865</v>
      </c>
      <c r="G1490" s="338" t="s">
        <v>7143</v>
      </c>
      <c r="H1490" s="204" t="s">
        <v>77</v>
      </c>
      <c r="I1490" s="204" t="s">
        <v>7456</v>
      </c>
    </row>
    <row r="1491" spans="1:10" x14ac:dyDescent="0.25">
      <c r="A1491" s="204" t="s">
        <v>1544</v>
      </c>
      <c r="B1491" s="9" t="str">
        <f t="shared" si="46"/>
        <v>50102215</v>
      </c>
      <c r="C1491" s="9" t="str">
        <f>VLOOKUP(B1491,COA!A:B,2,FALSE)</f>
        <v>Labor Maint Pumping - Power Prod</v>
      </c>
      <c r="D1491" s="338" t="str">
        <f t="shared" si="47"/>
        <v>C6012</v>
      </c>
      <c r="E1491" s="338" t="s">
        <v>8</v>
      </c>
      <c r="F1491" s="338" t="s">
        <v>6865</v>
      </c>
      <c r="G1491" s="338" t="s">
        <v>7143</v>
      </c>
      <c r="H1491" s="204" t="s">
        <v>77</v>
      </c>
      <c r="I1491" s="204" t="s">
        <v>7456</v>
      </c>
    </row>
    <row r="1492" spans="1:10" x14ac:dyDescent="0.25">
      <c r="A1492" s="204" t="s">
        <v>1545</v>
      </c>
      <c r="B1492" s="9" t="str">
        <f t="shared" si="46"/>
        <v>50102300</v>
      </c>
      <c r="C1492" s="9" t="str">
        <f>VLOOKUP(B1492,COA!A:B,2,FALSE)</f>
        <v>Labor Maint Water Treatment</v>
      </c>
      <c r="D1492" s="338" t="str">
        <f t="shared" si="47"/>
        <v>C6014</v>
      </c>
      <c r="E1492" s="338" t="s">
        <v>8</v>
      </c>
      <c r="F1492" s="338" t="s">
        <v>9</v>
      </c>
      <c r="G1492" s="338" t="s">
        <v>7143</v>
      </c>
      <c r="H1492" s="204" t="s">
        <v>77</v>
      </c>
      <c r="I1492" s="204" t="s">
        <v>7457</v>
      </c>
    </row>
    <row r="1493" spans="1:10" x14ac:dyDescent="0.25">
      <c r="A1493" s="204" t="s">
        <v>1546</v>
      </c>
      <c r="B1493" s="9" t="str">
        <f t="shared" si="46"/>
        <v>50102305</v>
      </c>
      <c r="C1493" s="9" t="str">
        <f>VLOOKUP(B1493,COA!A:B,2,FALSE)</f>
        <v>Labor Maint Water Treatment - Super &amp; Eng</v>
      </c>
      <c r="D1493" s="338" t="str">
        <f t="shared" si="47"/>
        <v>C6014</v>
      </c>
      <c r="E1493" s="338" t="s">
        <v>8</v>
      </c>
      <c r="F1493" s="338" t="s">
        <v>9</v>
      </c>
      <c r="G1493" s="338" t="s">
        <v>7143</v>
      </c>
      <c r="H1493" s="204" t="s">
        <v>77</v>
      </c>
      <c r="I1493" s="204" t="s">
        <v>7457</v>
      </c>
    </row>
    <row r="1494" spans="1:10" x14ac:dyDescent="0.25">
      <c r="A1494" s="204" t="s">
        <v>1547</v>
      </c>
      <c r="B1494" s="9" t="str">
        <f t="shared" si="46"/>
        <v>50102310</v>
      </c>
      <c r="C1494" s="9" t="str">
        <f>VLOOKUP(B1494,COA!A:B,2,FALSE)</f>
        <v>Labor Maint Water Treatment - Struct &amp; Imp</v>
      </c>
      <c r="D1494" s="338" t="str">
        <f t="shared" si="47"/>
        <v>C6014</v>
      </c>
      <c r="E1494" s="338" t="s">
        <v>8</v>
      </c>
      <c r="F1494" s="338" t="s">
        <v>9</v>
      </c>
      <c r="G1494" s="338" t="s">
        <v>7143</v>
      </c>
      <c r="H1494" s="204" t="s">
        <v>77</v>
      </c>
      <c r="I1494" s="204" t="s">
        <v>7457</v>
      </c>
    </row>
    <row r="1495" spans="1:10" x14ac:dyDescent="0.25">
      <c r="A1495" s="204" t="s">
        <v>1548</v>
      </c>
      <c r="B1495" s="9" t="str">
        <f t="shared" si="46"/>
        <v>50102315</v>
      </c>
      <c r="C1495" s="9" t="str">
        <f>VLOOKUP(B1495,COA!A:B,2,FALSE)</f>
        <v>Labor Maint Water Treatment - Equipment</v>
      </c>
      <c r="D1495" s="338" t="str">
        <f t="shared" si="47"/>
        <v>C6014</v>
      </c>
      <c r="E1495" s="338" t="s">
        <v>8</v>
      </c>
      <c r="F1495" s="338" t="s">
        <v>9</v>
      </c>
      <c r="G1495" s="338" t="s">
        <v>7143</v>
      </c>
      <c r="H1495" s="204" t="s">
        <v>77</v>
      </c>
      <c r="I1495" s="204" t="s">
        <v>7457</v>
      </c>
    </row>
    <row r="1496" spans="1:10" x14ac:dyDescent="0.25">
      <c r="A1496" s="204" t="s">
        <v>1549</v>
      </c>
      <c r="B1496" s="9" t="str">
        <f t="shared" si="46"/>
        <v>50102400</v>
      </c>
      <c r="C1496" s="9" t="str">
        <f>VLOOKUP(B1496,COA!A:B,2,FALSE)</f>
        <v>Labor Maint Transmission &amp; Distribution</v>
      </c>
      <c r="D1496" s="338" t="str">
        <f t="shared" si="47"/>
        <v>C6016</v>
      </c>
      <c r="E1496" s="338" t="s">
        <v>8</v>
      </c>
      <c r="F1496" s="338" t="s">
        <v>6978</v>
      </c>
      <c r="G1496" s="338" t="s">
        <v>7143</v>
      </c>
      <c r="H1496" s="204" t="s">
        <v>77</v>
      </c>
      <c r="I1496" s="204" t="s">
        <v>7458</v>
      </c>
    </row>
    <row r="1497" spans="1:10" x14ac:dyDescent="0.25">
      <c r="A1497" s="204" t="s">
        <v>1550</v>
      </c>
      <c r="B1497" s="9" t="str">
        <f t="shared" si="46"/>
        <v>50102405</v>
      </c>
      <c r="C1497" s="9" t="str">
        <f>VLOOKUP(B1497,COA!A:B,2,FALSE)</f>
        <v>Labor Maint Transmssn &amp; Distr - Super &amp; Eng</v>
      </c>
      <c r="D1497" s="338" t="str">
        <f t="shared" si="47"/>
        <v>C6016</v>
      </c>
      <c r="E1497" s="338" t="s">
        <v>8</v>
      </c>
      <c r="F1497" s="338" t="s">
        <v>6978</v>
      </c>
      <c r="G1497" s="338" t="s">
        <v>7143</v>
      </c>
      <c r="H1497" s="204" t="s">
        <v>77</v>
      </c>
      <c r="I1497" s="204" t="s">
        <v>7458</v>
      </c>
    </row>
    <row r="1498" spans="1:10" x14ac:dyDescent="0.25">
      <c r="A1498" s="204" t="s">
        <v>1551</v>
      </c>
      <c r="B1498" s="9" t="str">
        <f t="shared" si="46"/>
        <v>50102410</v>
      </c>
      <c r="C1498" s="9" t="str">
        <f>VLOOKUP(B1498,COA!A:B,2,FALSE)</f>
        <v>Labor Maint Transmssn &amp; Distr - Struct &amp; Imp</v>
      </c>
      <c r="D1498" s="338" t="str">
        <f t="shared" si="47"/>
        <v>C6016</v>
      </c>
      <c r="E1498" s="338" t="s">
        <v>8</v>
      </c>
      <c r="F1498" s="338" t="s">
        <v>6978</v>
      </c>
      <c r="G1498" s="338" t="s">
        <v>7143</v>
      </c>
      <c r="H1498" s="204" t="s">
        <v>77</v>
      </c>
      <c r="I1498" s="204" t="s">
        <v>7458</v>
      </c>
    </row>
    <row r="1499" spans="1:10" x14ac:dyDescent="0.25">
      <c r="A1499" s="204" t="s">
        <v>1552</v>
      </c>
      <c r="B1499" s="9" t="str">
        <f t="shared" si="46"/>
        <v>50102415</v>
      </c>
      <c r="C1499" s="9" t="str">
        <f>VLOOKUP(B1499,COA!A:B,2,FALSE)</f>
        <v>Labor Maint Transmssn &amp; Distr - Dist Res</v>
      </c>
      <c r="D1499" s="338" t="str">
        <f t="shared" si="47"/>
        <v>C6016</v>
      </c>
      <c r="E1499" s="338" t="s">
        <v>8</v>
      </c>
      <c r="F1499" s="338" t="s">
        <v>6959</v>
      </c>
      <c r="G1499" s="338" t="s">
        <v>7143</v>
      </c>
      <c r="H1499" s="204" t="s">
        <v>77</v>
      </c>
      <c r="I1499" s="204" t="s">
        <v>7458</v>
      </c>
    </row>
    <row r="1500" spans="1:10" x14ac:dyDescent="0.25">
      <c r="A1500" s="204" t="s">
        <v>1553</v>
      </c>
      <c r="B1500" s="9" t="str">
        <f t="shared" si="46"/>
        <v>50102420</v>
      </c>
      <c r="C1500" s="9" t="str">
        <f>VLOOKUP(B1500,COA!A:B,2,FALSE)</f>
        <v>Labor Maint Transmssn &amp; Distr - Mains</v>
      </c>
      <c r="D1500" s="338" t="str">
        <f t="shared" si="47"/>
        <v>C6016</v>
      </c>
      <c r="E1500" s="338" t="s">
        <v>8</v>
      </c>
      <c r="F1500" s="338" t="s">
        <v>6982</v>
      </c>
      <c r="G1500" s="338" t="s">
        <v>7143</v>
      </c>
      <c r="H1500" s="204" t="s">
        <v>77</v>
      </c>
      <c r="I1500" s="204" t="s">
        <v>7458</v>
      </c>
    </row>
    <row r="1501" spans="1:10" x14ac:dyDescent="0.25">
      <c r="A1501" s="204" t="s">
        <v>1554</v>
      </c>
      <c r="B1501" s="9" t="str">
        <f t="shared" si="46"/>
        <v>50102425</v>
      </c>
      <c r="C1501" s="9" t="str">
        <f>VLOOKUP(B1501,COA!A:B,2,FALSE)</f>
        <v>Labor Maint Transmssn &amp; Distr - Fire Mains</v>
      </c>
      <c r="D1501" s="338" t="str">
        <f t="shared" si="47"/>
        <v>C6016</v>
      </c>
      <c r="E1501" s="338" t="s">
        <v>8</v>
      </c>
      <c r="F1501" s="338" t="s">
        <v>30</v>
      </c>
      <c r="G1501" s="338" t="s">
        <v>7143</v>
      </c>
      <c r="H1501" s="204" t="s">
        <v>77</v>
      </c>
      <c r="I1501" s="204" t="s">
        <v>7458</v>
      </c>
    </row>
    <row r="1502" spans="1:10" x14ac:dyDescent="0.25">
      <c r="A1502" s="204" t="s">
        <v>1555</v>
      </c>
      <c r="B1502" s="9" t="str">
        <f t="shared" si="46"/>
        <v>50102430</v>
      </c>
      <c r="C1502" s="9" t="str">
        <f>VLOOKUP(B1502,COA!A:B,2,FALSE)</f>
        <v>Labor Maint Transmssn &amp; Distr - Service</v>
      </c>
      <c r="D1502" s="338" t="str">
        <f t="shared" si="47"/>
        <v>C6016</v>
      </c>
      <c r="E1502" s="338" t="s">
        <v>8</v>
      </c>
      <c r="F1502" s="338" t="s">
        <v>27</v>
      </c>
      <c r="G1502" s="338" t="s">
        <v>7143</v>
      </c>
      <c r="H1502" s="204" t="s">
        <v>77</v>
      </c>
      <c r="I1502" s="204" t="s">
        <v>7458</v>
      </c>
    </row>
    <row r="1503" spans="1:10" x14ac:dyDescent="0.25">
      <c r="A1503" s="204" t="s">
        <v>1556</v>
      </c>
      <c r="B1503" s="9" t="str">
        <f t="shared" si="46"/>
        <v>50102435</v>
      </c>
      <c r="C1503" s="9" t="str">
        <f>VLOOKUP(B1503,COA!A:B,2,FALSE)</f>
        <v>Labor Maint Transmssn &amp; Distr - Meter</v>
      </c>
      <c r="D1503" s="338" t="str">
        <f t="shared" si="47"/>
        <v>C6016</v>
      </c>
      <c r="E1503" s="338" t="s">
        <v>8</v>
      </c>
      <c r="F1503" s="338" t="s">
        <v>28</v>
      </c>
      <c r="G1503" s="338" t="s">
        <v>7143</v>
      </c>
      <c r="H1503" s="204" t="s">
        <v>77</v>
      </c>
      <c r="I1503" s="204" t="s">
        <v>7458</v>
      </c>
    </row>
    <row r="1504" spans="1:10" x14ac:dyDescent="0.25">
      <c r="A1504" s="204" t="s">
        <v>1557</v>
      </c>
      <c r="B1504" s="9" t="str">
        <f t="shared" si="46"/>
        <v>50102440</v>
      </c>
      <c r="C1504" s="9" t="str">
        <f>VLOOKUP(B1504,COA!A:B,2,FALSE)</f>
        <v>Labor Maint Transmssn &amp; Distr - Hydrants</v>
      </c>
      <c r="D1504" s="338" t="str">
        <f t="shared" si="47"/>
        <v>C6016</v>
      </c>
      <c r="E1504" s="338" t="s">
        <v>8</v>
      </c>
      <c r="F1504" s="338" t="s">
        <v>30</v>
      </c>
      <c r="G1504" s="338" t="s">
        <v>7143</v>
      </c>
      <c r="H1504" s="204" t="s">
        <v>77</v>
      </c>
      <c r="I1504" s="204" t="s">
        <v>7458</v>
      </c>
      <c r="J1504" s="205"/>
    </row>
    <row r="1505" spans="1:10" x14ac:dyDescent="0.25">
      <c r="A1505" s="204" t="s">
        <v>1558</v>
      </c>
      <c r="B1505" s="9" t="str">
        <f t="shared" si="46"/>
        <v>50102600</v>
      </c>
      <c r="C1505" s="9" t="str">
        <f>VLOOKUP(B1505,COA!A:B,2,FALSE)</f>
        <v>Labor Maint Admin &amp; General</v>
      </c>
      <c r="D1505" s="338" t="str">
        <f t="shared" si="47"/>
        <v>C6018</v>
      </c>
      <c r="E1505" s="338" t="s">
        <v>8</v>
      </c>
      <c r="F1505" s="338" t="s">
        <v>6866</v>
      </c>
      <c r="G1505" s="338" t="s">
        <v>7143</v>
      </c>
      <c r="H1505" s="204" t="s">
        <v>77</v>
      </c>
      <c r="I1505" s="204" t="s">
        <v>7450</v>
      </c>
      <c r="J1505" s="205"/>
    </row>
    <row r="1506" spans="1:10" x14ac:dyDescent="0.25">
      <c r="A1506" s="204" t="s">
        <v>1559</v>
      </c>
      <c r="B1506" s="9" t="str">
        <f t="shared" si="46"/>
        <v>50109900</v>
      </c>
      <c r="C1506" s="9" t="str">
        <f>VLOOKUP(B1506,COA!A:B,2,FALSE)</f>
        <v>Labor Capitalized Credits</v>
      </c>
      <c r="D1506" s="338" t="str">
        <f t="shared" si="47"/>
        <v>C6018</v>
      </c>
      <c r="E1506" s="338" t="s">
        <v>6900</v>
      </c>
      <c r="F1506" s="338" t="s">
        <v>6866</v>
      </c>
      <c r="G1506" s="338" t="s">
        <v>7143</v>
      </c>
      <c r="H1506" s="204" t="s">
        <v>77</v>
      </c>
      <c r="I1506" s="204" t="s">
        <v>7450</v>
      </c>
      <c r="J1506" s="205"/>
    </row>
    <row r="1507" spans="1:10" x14ac:dyDescent="0.25">
      <c r="A1507" s="204" t="s">
        <v>1560</v>
      </c>
      <c r="B1507" s="9" t="str">
        <f t="shared" si="46"/>
        <v>50110000</v>
      </c>
      <c r="C1507" s="9" t="str">
        <f>VLOOKUP(B1507,COA!A:B,2,FALSE)</f>
        <v>Labor Non-scheduled Overtime - Natural Account</v>
      </c>
      <c r="D1507" s="338" t="str">
        <f t="shared" si="47"/>
        <v>C6018</v>
      </c>
      <c r="E1507" s="338" t="s">
        <v>6900</v>
      </c>
      <c r="F1507" s="338" t="s">
        <v>6866</v>
      </c>
      <c r="G1507" s="338" t="s">
        <v>7143</v>
      </c>
      <c r="H1507" s="204" t="s">
        <v>77</v>
      </c>
      <c r="I1507" s="204" t="s">
        <v>7450</v>
      </c>
      <c r="J1507" s="205"/>
    </row>
    <row r="1508" spans="1:10" x14ac:dyDescent="0.25">
      <c r="A1508" s="204" t="s">
        <v>1561</v>
      </c>
      <c r="B1508" s="9" t="str">
        <f t="shared" si="46"/>
        <v>50111100</v>
      </c>
      <c r="C1508" s="9" t="str">
        <f>VLOOKUP(B1508,COA!A:B,2,FALSE)</f>
        <v>Labor Oper Non-scheduled Overtime- SS</v>
      </c>
      <c r="D1508" s="338" t="str">
        <f t="shared" si="47"/>
        <v>C6011</v>
      </c>
      <c r="E1508" s="338" t="s">
        <v>6900</v>
      </c>
      <c r="F1508" s="338" t="s">
        <v>23</v>
      </c>
      <c r="G1508" s="338" t="s">
        <v>7143</v>
      </c>
      <c r="H1508" s="204" t="s">
        <v>77</v>
      </c>
      <c r="I1508" s="204" t="s">
        <v>7451</v>
      </c>
    </row>
    <row r="1509" spans="1:10" x14ac:dyDescent="0.25">
      <c r="A1509" s="204" t="s">
        <v>1562</v>
      </c>
      <c r="B1509" s="9" t="str">
        <f t="shared" si="46"/>
        <v>50111105</v>
      </c>
      <c r="C1509" s="9" t="str">
        <f>VLOOKUP(B1509,COA!A:B,2,FALSE)</f>
        <v>Labor Oper Non-scheduled Overtime- SS Super &amp; Eng</v>
      </c>
      <c r="D1509" s="338" t="str">
        <f t="shared" si="47"/>
        <v>C6011</v>
      </c>
      <c r="E1509" s="338" t="s">
        <v>6900</v>
      </c>
      <c r="F1509" s="338" t="s">
        <v>23</v>
      </c>
      <c r="G1509" s="338" t="s">
        <v>7143</v>
      </c>
      <c r="H1509" s="204" t="s">
        <v>77</v>
      </c>
      <c r="I1509" s="204" t="s">
        <v>7451</v>
      </c>
      <c r="J1509" s="205"/>
    </row>
    <row r="1510" spans="1:10" x14ac:dyDescent="0.25">
      <c r="A1510" s="204" t="s">
        <v>1563</v>
      </c>
      <c r="B1510" s="9" t="str">
        <f t="shared" si="46"/>
        <v>50111200</v>
      </c>
      <c r="C1510" s="9" t="str">
        <f>VLOOKUP(B1510,COA!A:B,2,FALSE)</f>
        <v>Labor Oper Non-scheduled Overtime- P</v>
      </c>
      <c r="D1510" s="338" t="str">
        <f t="shared" si="47"/>
        <v>C6011</v>
      </c>
      <c r="E1510" s="338" t="s">
        <v>6900</v>
      </c>
      <c r="F1510" s="338" t="s">
        <v>6865</v>
      </c>
      <c r="G1510" s="338" t="s">
        <v>7143</v>
      </c>
      <c r="H1510" s="204" t="s">
        <v>77</v>
      </c>
      <c r="I1510" s="204" t="s">
        <v>7451</v>
      </c>
    </row>
    <row r="1511" spans="1:10" x14ac:dyDescent="0.25">
      <c r="A1511" s="204" t="s">
        <v>1564</v>
      </c>
      <c r="B1511" s="9" t="str">
        <f t="shared" si="46"/>
        <v>50111205</v>
      </c>
      <c r="C1511" s="9" t="str">
        <f>VLOOKUP(B1511,COA!A:B,2,FALSE)</f>
        <v>Labor Oper Non-scheduled Overtime- P Super &amp; Eng</v>
      </c>
      <c r="D1511" s="338" t="str">
        <f t="shared" si="47"/>
        <v>C6011</v>
      </c>
      <c r="E1511" s="338" t="s">
        <v>6900</v>
      </c>
      <c r="F1511" s="338" t="s">
        <v>6865</v>
      </c>
      <c r="G1511" s="338" t="s">
        <v>7143</v>
      </c>
      <c r="H1511" s="204" t="s">
        <v>77</v>
      </c>
      <c r="I1511" s="204" t="s">
        <v>7451</v>
      </c>
    </row>
    <row r="1512" spans="1:10" x14ac:dyDescent="0.25">
      <c r="A1512" s="204" t="s">
        <v>1565</v>
      </c>
      <c r="B1512" s="9" t="str">
        <f t="shared" si="46"/>
        <v>50111210</v>
      </c>
      <c r="C1512" s="9" t="str">
        <f>VLOOKUP(B1512,COA!A:B,2,FALSE)</f>
        <v>Labor Oper Non-scheduled Overtime- P Power Prod</v>
      </c>
      <c r="D1512" s="338" t="str">
        <f t="shared" si="47"/>
        <v>C6011</v>
      </c>
      <c r="E1512" s="338" t="s">
        <v>6900</v>
      </c>
      <c r="F1512" s="338" t="s">
        <v>6865</v>
      </c>
      <c r="G1512" s="338" t="s">
        <v>7143</v>
      </c>
      <c r="H1512" s="204" t="s">
        <v>77</v>
      </c>
      <c r="I1512" s="204" t="s">
        <v>7451</v>
      </c>
    </row>
    <row r="1513" spans="1:10" x14ac:dyDescent="0.25">
      <c r="A1513" s="204" t="s">
        <v>1566</v>
      </c>
      <c r="B1513" s="9" t="str">
        <f t="shared" si="46"/>
        <v>50111215</v>
      </c>
      <c r="C1513" s="9" t="str">
        <f>VLOOKUP(B1513,COA!A:B,2,FALSE)</f>
        <v>Labor Oper Non-scheduled Overtime- P Pump</v>
      </c>
      <c r="D1513" s="338" t="str">
        <f t="shared" si="47"/>
        <v>C6011</v>
      </c>
      <c r="E1513" s="338" t="s">
        <v>6900</v>
      </c>
      <c r="F1513" s="338" t="s">
        <v>6865</v>
      </c>
      <c r="G1513" s="338" t="s">
        <v>7143</v>
      </c>
      <c r="H1513" s="204" t="s">
        <v>77</v>
      </c>
      <c r="I1513" s="204" t="s">
        <v>7451</v>
      </c>
    </row>
    <row r="1514" spans="1:10" x14ac:dyDescent="0.25">
      <c r="A1514" s="204" t="s">
        <v>1567</v>
      </c>
      <c r="B1514" s="9" t="str">
        <f t="shared" si="46"/>
        <v>50111300</v>
      </c>
      <c r="C1514" s="9" t="str">
        <f>VLOOKUP(B1514,COA!A:B,2,FALSE)</f>
        <v>Labor Oper Non-scheduled Overtime- WT</v>
      </c>
      <c r="D1514" s="338" t="str">
        <f t="shared" si="47"/>
        <v>C6013</v>
      </c>
      <c r="E1514" s="338" t="s">
        <v>6900</v>
      </c>
      <c r="F1514" s="338" t="s">
        <v>9</v>
      </c>
      <c r="G1514" s="338" t="s">
        <v>7143</v>
      </c>
      <c r="H1514" s="204" t="s">
        <v>77</v>
      </c>
      <c r="I1514" s="204" t="s">
        <v>7452</v>
      </c>
    </row>
    <row r="1515" spans="1:10" x14ac:dyDescent="0.25">
      <c r="A1515" s="204" t="s">
        <v>1568</v>
      </c>
      <c r="B1515" s="9" t="str">
        <f t="shared" si="46"/>
        <v>50111305</v>
      </c>
      <c r="C1515" s="9" t="str">
        <f>VLOOKUP(B1515,COA!A:B,2,FALSE)</f>
        <v>Labor Oper Non-scheduled Overtime- WT Super &amp; Eng</v>
      </c>
      <c r="D1515" s="338" t="str">
        <f t="shared" si="47"/>
        <v>C6013</v>
      </c>
      <c r="E1515" s="338" t="s">
        <v>6900</v>
      </c>
      <c r="F1515" s="338" t="s">
        <v>9</v>
      </c>
      <c r="G1515" s="338" t="s">
        <v>7143</v>
      </c>
      <c r="H1515" s="204" t="s">
        <v>77</v>
      </c>
      <c r="I1515" s="204" t="s">
        <v>7452</v>
      </c>
    </row>
    <row r="1516" spans="1:10" x14ac:dyDescent="0.25">
      <c r="A1516" s="204" t="s">
        <v>1569</v>
      </c>
      <c r="B1516" s="9" t="str">
        <f t="shared" si="46"/>
        <v>50111400</v>
      </c>
      <c r="C1516" s="9" t="str">
        <f>VLOOKUP(B1516,COA!A:B,2,FALSE)</f>
        <v>Labor Oper Non-scheduled Overtime- TD</v>
      </c>
      <c r="D1516" s="338" t="str">
        <f t="shared" si="47"/>
        <v>C6015</v>
      </c>
      <c r="E1516" s="338" t="s">
        <v>6900</v>
      </c>
      <c r="F1516" s="338" t="s">
        <v>6978</v>
      </c>
      <c r="G1516" s="338" t="s">
        <v>7143</v>
      </c>
      <c r="H1516" s="204" t="s">
        <v>77</v>
      </c>
      <c r="I1516" s="204" t="s">
        <v>7453</v>
      </c>
    </row>
    <row r="1517" spans="1:10" x14ac:dyDescent="0.25">
      <c r="A1517" s="204" t="s">
        <v>1570</v>
      </c>
      <c r="B1517" s="9" t="str">
        <f t="shared" si="46"/>
        <v>50111405</v>
      </c>
      <c r="C1517" s="9" t="str">
        <f>VLOOKUP(B1517,COA!A:B,2,FALSE)</f>
        <v>Labor Oper Non-scheduled Overtime- TD Super &amp; Eng</v>
      </c>
      <c r="D1517" s="338" t="str">
        <f t="shared" si="47"/>
        <v>C6015</v>
      </c>
      <c r="E1517" s="338" t="s">
        <v>6900</v>
      </c>
      <c r="F1517" s="338" t="s">
        <v>6978</v>
      </c>
      <c r="G1517" s="338" t="s">
        <v>7143</v>
      </c>
      <c r="H1517" s="204" t="s">
        <v>77</v>
      </c>
      <c r="I1517" s="204" t="s">
        <v>7453</v>
      </c>
    </row>
    <row r="1518" spans="1:10" x14ac:dyDescent="0.25">
      <c r="A1518" s="204" t="s">
        <v>1571</v>
      </c>
      <c r="B1518" s="9" t="str">
        <f t="shared" ref="B1518:B1581" si="48">RIGHT(A1518,8)</f>
        <v>50111410</v>
      </c>
      <c r="C1518" s="9" t="str">
        <f>VLOOKUP(B1518,COA!A:B,2,FALSE)</f>
        <v>Labor Oper Non-scheduled OT-TD Storage Facility</v>
      </c>
      <c r="D1518" s="338" t="str">
        <f t="shared" si="47"/>
        <v>C6015</v>
      </c>
      <c r="E1518" s="338" t="s">
        <v>6900</v>
      </c>
      <c r="F1518" s="338" t="s">
        <v>6959</v>
      </c>
      <c r="G1518" s="338" t="s">
        <v>7143</v>
      </c>
      <c r="H1518" s="204" t="s">
        <v>77</v>
      </c>
      <c r="I1518" s="204" t="s">
        <v>7453</v>
      </c>
    </row>
    <row r="1519" spans="1:10" x14ac:dyDescent="0.25">
      <c r="A1519" s="204" t="s">
        <v>1572</v>
      </c>
      <c r="B1519" s="9" t="str">
        <f t="shared" si="48"/>
        <v>50111415</v>
      </c>
      <c r="C1519" s="9" t="str">
        <f>VLOOKUP(B1519,COA!A:B,2,FALSE)</f>
        <v>Labor Oper Non-scheduled Overtime- TD Lines</v>
      </c>
      <c r="D1519" s="338" t="str">
        <f t="shared" si="47"/>
        <v>C6015</v>
      </c>
      <c r="E1519" s="338" t="s">
        <v>6900</v>
      </c>
      <c r="F1519" s="338" t="s">
        <v>6982</v>
      </c>
      <c r="G1519" s="338" t="s">
        <v>7143</v>
      </c>
      <c r="H1519" s="204" t="s">
        <v>77</v>
      </c>
      <c r="I1519" s="204" t="s">
        <v>7453</v>
      </c>
    </row>
    <row r="1520" spans="1:10" x14ac:dyDescent="0.25">
      <c r="A1520" s="204" t="s">
        <v>1573</v>
      </c>
      <c r="B1520" s="9" t="str">
        <f t="shared" si="48"/>
        <v>50111420</v>
      </c>
      <c r="C1520" s="9" t="str">
        <f>VLOOKUP(B1520,COA!A:B,2,FALSE)</f>
        <v>Labor Oper Non-scheduled Overtime- TD Meter</v>
      </c>
      <c r="D1520" s="338" t="str">
        <f t="shared" si="47"/>
        <v>C6015</v>
      </c>
      <c r="E1520" s="338" t="s">
        <v>6900</v>
      </c>
      <c r="F1520" s="338" t="s">
        <v>28</v>
      </c>
      <c r="G1520" s="338" t="s">
        <v>7143</v>
      </c>
      <c r="H1520" s="204" t="s">
        <v>77</v>
      </c>
      <c r="I1520" s="204" t="s">
        <v>7453</v>
      </c>
    </row>
    <row r="1521" spans="1:10" x14ac:dyDescent="0.25">
      <c r="A1521" s="204" t="s">
        <v>1574</v>
      </c>
      <c r="B1521" s="9" t="str">
        <f t="shared" si="48"/>
        <v>50111425</v>
      </c>
      <c r="C1521" s="9" t="str">
        <f>VLOOKUP(B1521,COA!A:B,2,FALSE)</f>
        <v>Labor Oper Non-scheduled OT-TD Meter Install</v>
      </c>
      <c r="D1521" s="338" t="str">
        <f t="shared" si="47"/>
        <v>C6015</v>
      </c>
      <c r="E1521" s="338" t="s">
        <v>6900</v>
      </c>
      <c r="F1521" s="338" t="s">
        <v>28</v>
      </c>
      <c r="G1521" s="338" t="s">
        <v>7143</v>
      </c>
      <c r="H1521" s="204" t="s">
        <v>77</v>
      </c>
      <c r="I1521" s="204" t="s">
        <v>7453</v>
      </c>
    </row>
    <row r="1522" spans="1:10" x14ac:dyDescent="0.25">
      <c r="A1522" s="204" t="s">
        <v>1575</v>
      </c>
      <c r="B1522" s="9" t="str">
        <f t="shared" si="48"/>
        <v>50111500</v>
      </c>
      <c r="C1522" s="9" t="str">
        <f>VLOOKUP(B1522,COA!A:B,2,FALSE)</f>
        <v>Labor Oper Non-scheduled Overtime- CA</v>
      </c>
      <c r="D1522" s="338" t="str">
        <f t="shared" si="47"/>
        <v>C6017</v>
      </c>
      <c r="E1522" s="338" t="s">
        <v>6900</v>
      </c>
      <c r="F1522" s="338" t="s">
        <v>6958</v>
      </c>
      <c r="G1522" s="338" t="s">
        <v>7143</v>
      </c>
      <c r="H1522" s="204" t="s">
        <v>77</v>
      </c>
      <c r="I1522" s="204" t="s">
        <v>7454</v>
      </c>
    </row>
    <row r="1523" spans="1:10" x14ac:dyDescent="0.25">
      <c r="A1523" s="204" t="s">
        <v>1576</v>
      </c>
      <c r="B1523" s="9" t="str">
        <f t="shared" si="48"/>
        <v>50111505</v>
      </c>
      <c r="C1523" s="9" t="str">
        <f>VLOOKUP(B1523,COA!A:B,2,FALSE)</f>
        <v>Labor Oper Non-scheduled Overtime- CA Super &amp; Eng</v>
      </c>
      <c r="D1523" s="338" t="str">
        <f t="shared" si="47"/>
        <v>C6017</v>
      </c>
      <c r="E1523" s="338" t="s">
        <v>6900</v>
      </c>
      <c r="F1523" s="338" t="s">
        <v>6958</v>
      </c>
      <c r="G1523" s="338" t="s">
        <v>7143</v>
      </c>
      <c r="H1523" s="204" t="s">
        <v>77</v>
      </c>
      <c r="I1523" s="204" t="s">
        <v>7454</v>
      </c>
    </row>
    <row r="1524" spans="1:10" x14ac:dyDescent="0.25">
      <c r="A1524" s="204" t="s">
        <v>1577</v>
      </c>
      <c r="B1524" s="9" t="str">
        <f t="shared" si="48"/>
        <v>50111510</v>
      </c>
      <c r="C1524" s="9" t="str">
        <f>VLOOKUP(B1524,COA!A:B,2,FALSE)</f>
        <v>Labor Oper Non-scheduled Overtime- CA Meter Read</v>
      </c>
      <c r="D1524" s="338" t="str">
        <f t="shared" si="47"/>
        <v>C6017</v>
      </c>
      <c r="E1524" s="338" t="s">
        <v>6900</v>
      </c>
      <c r="F1524" s="338" t="s">
        <v>6958</v>
      </c>
      <c r="G1524" s="338" t="s">
        <v>7143</v>
      </c>
      <c r="H1524" s="204" t="s">
        <v>77</v>
      </c>
      <c r="I1524" s="204" t="s">
        <v>7454</v>
      </c>
      <c r="J1524" s="205"/>
    </row>
    <row r="1525" spans="1:10" x14ac:dyDescent="0.25">
      <c r="A1525" s="204" t="s">
        <v>1578</v>
      </c>
      <c r="B1525" s="9" t="str">
        <f t="shared" si="48"/>
        <v>50111515</v>
      </c>
      <c r="C1525" s="9" t="str">
        <f>VLOOKUP(B1525,COA!A:B,2,FALSE)</f>
        <v>Labor Oper Non-scheduled OT - CA Cust Rec &amp; Coll</v>
      </c>
      <c r="D1525" s="338" t="str">
        <f t="shared" si="47"/>
        <v>C6017</v>
      </c>
      <c r="E1525" s="338" t="s">
        <v>6900</v>
      </c>
      <c r="F1525" s="338" t="s">
        <v>6958</v>
      </c>
      <c r="G1525" s="338" t="s">
        <v>7143</v>
      </c>
      <c r="H1525" s="204" t="s">
        <v>77</v>
      </c>
      <c r="I1525" s="204" t="s">
        <v>7454</v>
      </c>
      <c r="J1525" s="205"/>
    </row>
    <row r="1526" spans="1:10" x14ac:dyDescent="0.25">
      <c r="A1526" s="204" t="s">
        <v>1579</v>
      </c>
      <c r="B1526" s="9" t="str">
        <f t="shared" si="48"/>
        <v>50111520</v>
      </c>
      <c r="C1526" s="9" t="str">
        <f>VLOOKUP(B1526,COA!A:B,2,FALSE)</f>
        <v>Labor Oper Non-scheduled OT - CA Cust Serv &amp; Info</v>
      </c>
      <c r="D1526" s="338" t="str">
        <f t="shared" si="47"/>
        <v>C6017</v>
      </c>
      <c r="E1526" s="338" t="s">
        <v>6900</v>
      </c>
      <c r="F1526" s="338" t="s">
        <v>6958</v>
      </c>
      <c r="G1526" s="338" t="s">
        <v>7143</v>
      </c>
      <c r="H1526" s="204" t="s">
        <v>77</v>
      </c>
      <c r="I1526" s="204" t="s">
        <v>7454</v>
      </c>
    </row>
    <row r="1527" spans="1:10" x14ac:dyDescent="0.25">
      <c r="A1527" s="204" t="s">
        <v>1580</v>
      </c>
      <c r="B1527" s="9" t="str">
        <f t="shared" si="48"/>
        <v>50111600</v>
      </c>
      <c r="C1527" s="9" t="str">
        <f>VLOOKUP(B1527,COA!A:B,2,FALSE)</f>
        <v>Labor Oper Non-scheduled Overtime- AG</v>
      </c>
      <c r="D1527" s="338" t="str">
        <f t="shared" si="47"/>
        <v>C6018</v>
      </c>
      <c r="E1527" s="338" t="s">
        <v>6900</v>
      </c>
      <c r="F1527" s="338" t="s">
        <v>6866</v>
      </c>
      <c r="G1527" s="338" t="s">
        <v>7143</v>
      </c>
      <c r="H1527" s="204" t="s">
        <v>77</v>
      </c>
      <c r="I1527" s="204" t="s">
        <v>7450</v>
      </c>
    </row>
    <row r="1528" spans="1:10" x14ac:dyDescent="0.25">
      <c r="A1528" s="204" t="s">
        <v>1581</v>
      </c>
      <c r="B1528" s="9" t="str">
        <f t="shared" si="48"/>
        <v>50112100</v>
      </c>
      <c r="C1528" s="9" t="str">
        <f>VLOOKUP(B1528,COA!A:B,2,FALSE)</f>
        <v>Labor Maint Non-scheduled Overtime- SS</v>
      </c>
      <c r="D1528" s="338" t="str">
        <f t="shared" si="47"/>
        <v>C6012</v>
      </c>
      <c r="E1528" s="338" t="s">
        <v>8</v>
      </c>
      <c r="F1528" s="338" t="s">
        <v>23</v>
      </c>
      <c r="G1528" s="338" t="s">
        <v>7143</v>
      </c>
      <c r="H1528" s="204" t="s">
        <v>77</v>
      </c>
      <c r="I1528" s="204" t="s">
        <v>7456</v>
      </c>
    </row>
    <row r="1529" spans="1:10" x14ac:dyDescent="0.25">
      <c r="A1529" s="204" t="s">
        <v>1582</v>
      </c>
      <c r="B1529" s="9" t="str">
        <f t="shared" si="48"/>
        <v>50112105</v>
      </c>
      <c r="C1529" s="9" t="str">
        <f>VLOOKUP(B1529,COA!A:B,2,FALSE)</f>
        <v>Labor Maint Non-scheduled Overtime- SS Super &amp; Eng</v>
      </c>
      <c r="D1529" s="338" t="str">
        <f t="shared" si="47"/>
        <v>C6012</v>
      </c>
      <c r="E1529" s="338" t="s">
        <v>8</v>
      </c>
      <c r="F1529" s="338" t="s">
        <v>23</v>
      </c>
      <c r="G1529" s="338" t="s">
        <v>7143</v>
      </c>
      <c r="H1529" s="204" t="s">
        <v>77</v>
      </c>
      <c r="I1529" s="204" t="s">
        <v>7456</v>
      </c>
    </row>
    <row r="1530" spans="1:10" x14ac:dyDescent="0.25">
      <c r="A1530" s="204" t="s">
        <v>1583</v>
      </c>
      <c r="B1530" s="9" t="str">
        <f t="shared" si="48"/>
        <v>50112110</v>
      </c>
      <c r="C1530" s="9" t="str">
        <f>VLOOKUP(B1530,COA!A:B,2,FALSE)</f>
        <v>Labor Maint Non-scheduled OT - SS Struct &amp; Imp</v>
      </c>
      <c r="D1530" s="338" t="str">
        <f t="shared" si="47"/>
        <v>C6012</v>
      </c>
      <c r="E1530" s="338" t="s">
        <v>8</v>
      </c>
      <c r="F1530" s="338" t="s">
        <v>23</v>
      </c>
      <c r="G1530" s="338" t="s">
        <v>7143</v>
      </c>
      <c r="H1530" s="204" t="s">
        <v>77</v>
      </c>
      <c r="I1530" s="204" t="s">
        <v>7456</v>
      </c>
    </row>
    <row r="1531" spans="1:10" x14ac:dyDescent="0.25">
      <c r="A1531" s="204" t="s">
        <v>1584</v>
      </c>
      <c r="B1531" s="9" t="str">
        <f t="shared" si="48"/>
        <v>50112115</v>
      </c>
      <c r="C1531" s="9" t="str">
        <f>VLOOKUP(B1531,COA!A:B,2,FALSE)</f>
        <v>Labor Maint Non-scheduled Overtime- SS Coll &amp; Imp</v>
      </c>
      <c r="D1531" s="338" t="str">
        <f t="shared" si="47"/>
        <v>C6012</v>
      </c>
      <c r="E1531" s="338" t="s">
        <v>8</v>
      </c>
      <c r="F1531" s="338" t="s">
        <v>23</v>
      </c>
      <c r="G1531" s="338" t="s">
        <v>7143</v>
      </c>
      <c r="H1531" s="204" t="s">
        <v>77</v>
      </c>
      <c r="I1531" s="204" t="s">
        <v>7456</v>
      </c>
    </row>
    <row r="1532" spans="1:10" x14ac:dyDescent="0.25">
      <c r="A1532" s="204" t="s">
        <v>1585</v>
      </c>
      <c r="B1532" s="9" t="str">
        <f t="shared" si="48"/>
        <v>50112120</v>
      </c>
      <c r="C1532" s="9" t="str">
        <f>VLOOKUP(B1532,COA!A:B,2,FALSE)</f>
        <v>Labor Maint Non-scheduled Overtime- SS Lake</v>
      </c>
      <c r="D1532" s="338" t="str">
        <f t="shared" si="47"/>
        <v>C6012</v>
      </c>
      <c r="E1532" s="338" t="s">
        <v>8</v>
      </c>
      <c r="F1532" s="338" t="s">
        <v>23</v>
      </c>
      <c r="G1532" s="338" t="s">
        <v>7143</v>
      </c>
      <c r="H1532" s="204" t="s">
        <v>77</v>
      </c>
      <c r="I1532" s="204" t="s">
        <v>7456</v>
      </c>
    </row>
    <row r="1533" spans="1:10" x14ac:dyDescent="0.25">
      <c r="A1533" s="204" t="s">
        <v>1586</v>
      </c>
      <c r="B1533" s="9" t="str">
        <f t="shared" si="48"/>
        <v>50112125</v>
      </c>
      <c r="C1533" s="9" t="str">
        <f>VLOOKUP(B1533,COA!A:B,2,FALSE)</f>
        <v>Labor Maint Non-scheduled Overtime- SS Wells</v>
      </c>
      <c r="D1533" s="338" t="str">
        <f t="shared" si="47"/>
        <v>C6012</v>
      </c>
      <c r="E1533" s="338" t="s">
        <v>8</v>
      </c>
      <c r="F1533" s="338" t="s">
        <v>23</v>
      </c>
      <c r="G1533" s="338" t="s">
        <v>7143</v>
      </c>
      <c r="H1533" s="204" t="s">
        <v>77</v>
      </c>
      <c r="I1533" s="204" t="s">
        <v>7456</v>
      </c>
    </row>
    <row r="1534" spans="1:10" x14ac:dyDescent="0.25">
      <c r="A1534" s="204" t="s">
        <v>1587</v>
      </c>
      <c r="B1534" s="9" t="str">
        <f t="shared" si="48"/>
        <v>50112130</v>
      </c>
      <c r="C1534" s="9" t="str">
        <f>VLOOKUP(B1534,COA!A:B,2,FALSE)</f>
        <v>Labor Maint Non-scheduled OT - SS Infilt Gallery</v>
      </c>
      <c r="D1534" s="338" t="str">
        <f t="shared" si="47"/>
        <v>C6012</v>
      </c>
      <c r="E1534" s="338" t="s">
        <v>8</v>
      </c>
      <c r="F1534" s="338" t="s">
        <v>23</v>
      </c>
      <c r="G1534" s="338" t="s">
        <v>7143</v>
      </c>
      <c r="H1534" s="204" t="s">
        <v>77</v>
      </c>
      <c r="I1534" s="204" t="s">
        <v>7456</v>
      </c>
    </row>
    <row r="1535" spans="1:10" x14ac:dyDescent="0.25">
      <c r="A1535" s="204" t="s">
        <v>1588</v>
      </c>
      <c r="B1535" s="9" t="str">
        <f t="shared" si="48"/>
        <v>50112135</v>
      </c>
      <c r="C1535" s="9" t="str">
        <f>VLOOKUP(B1535,COA!A:B,2,FALSE)</f>
        <v>Labor Maint Non-scheduled OT - SS Supply Mains</v>
      </c>
      <c r="D1535" s="338" t="str">
        <f t="shared" si="47"/>
        <v>C6012</v>
      </c>
      <c r="E1535" s="338" t="s">
        <v>8</v>
      </c>
      <c r="F1535" s="338" t="s">
        <v>23</v>
      </c>
      <c r="G1535" s="338" t="s">
        <v>7143</v>
      </c>
      <c r="H1535" s="204" t="s">
        <v>77</v>
      </c>
      <c r="I1535" s="204" t="s">
        <v>7456</v>
      </c>
    </row>
    <row r="1536" spans="1:10" x14ac:dyDescent="0.25">
      <c r="A1536" s="204" t="s">
        <v>1589</v>
      </c>
      <c r="B1536" s="9" t="str">
        <f t="shared" si="48"/>
        <v>50112200</v>
      </c>
      <c r="C1536" s="9" t="str">
        <f>VLOOKUP(B1536,COA!A:B,2,FALSE)</f>
        <v>Labor Maint Non-scheduled Overtime- P</v>
      </c>
      <c r="D1536" s="338" t="str">
        <f t="shared" si="47"/>
        <v>C6012</v>
      </c>
      <c r="E1536" s="338" t="s">
        <v>8</v>
      </c>
      <c r="F1536" s="338" t="s">
        <v>6865</v>
      </c>
      <c r="G1536" s="338" t="s">
        <v>7143</v>
      </c>
      <c r="H1536" s="204" t="s">
        <v>77</v>
      </c>
      <c r="I1536" s="204" t="s">
        <v>7456</v>
      </c>
    </row>
    <row r="1537" spans="1:10" x14ac:dyDescent="0.25">
      <c r="A1537" s="204" t="s">
        <v>1590</v>
      </c>
      <c r="B1537" s="9" t="str">
        <f t="shared" si="48"/>
        <v>50112205</v>
      </c>
      <c r="C1537" s="9" t="str">
        <f>VLOOKUP(B1537,COA!A:B,2,FALSE)</f>
        <v>Labor Maint Non-scheduled Overtime- P Super &amp; Eng</v>
      </c>
      <c r="D1537" s="338" t="str">
        <f t="shared" si="47"/>
        <v>C6012</v>
      </c>
      <c r="E1537" s="338" t="s">
        <v>8</v>
      </c>
      <c r="F1537" s="338" t="s">
        <v>6865</v>
      </c>
      <c r="G1537" s="338" t="s">
        <v>7143</v>
      </c>
      <c r="H1537" s="204" t="s">
        <v>77</v>
      </c>
      <c r="I1537" s="204" t="s">
        <v>7456</v>
      </c>
    </row>
    <row r="1538" spans="1:10" x14ac:dyDescent="0.25">
      <c r="A1538" s="204" t="s">
        <v>1591</v>
      </c>
      <c r="B1538" s="9" t="str">
        <f t="shared" si="48"/>
        <v>50112210</v>
      </c>
      <c r="C1538" s="9" t="str">
        <f>VLOOKUP(B1538,COA!A:B,2,FALSE)</f>
        <v>Labor Maint Non-scheduled Overtime- P Struct &amp; Imp</v>
      </c>
      <c r="D1538" s="338" t="str">
        <f t="shared" si="47"/>
        <v>C6012</v>
      </c>
      <c r="E1538" s="338" t="s">
        <v>8</v>
      </c>
      <c r="F1538" s="338" t="s">
        <v>6865</v>
      </c>
      <c r="G1538" s="338" t="s">
        <v>7143</v>
      </c>
      <c r="H1538" s="204" t="s">
        <v>77</v>
      </c>
      <c r="I1538" s="204" t="s">
        <v>7456</v>
      </c>
    </row>
    <row r="1539" spans="1:10" x14ac:dyDescent="0.25">
      <c r="A1539" s="204" t="s">
        <v>1592</v>
      </c>
      <c r="B1539" s="9" t="str">
        <f t="shared" si="48"/>
        <v>50112215</v>
      </c>
      <c r="C1539" s="9" t="str">
        <f>VLOOKUP(B1539,COA!A:B,2,FALSE)</f>
        <v>Labor Maint Non-scheduled Overtime- P Power Prod</v>
      </c>
      <c r="D1539" s="338" t="str">
        <f t="shared" si="47"/>
        <v>C6012</v>
      </c>
      <c r="E1539" s="338" t="s">
        <v>8</v>
      </c>
      <c r="F1539" s="338" t="s">
        <v>6865</v>
      </c>
      <c r="G1539" s="338" t="s">
        <v>7143</v>
      </c>
      <c r="H1539" s="204" t="s">
        <v>77</v>
      </c>
      <c r="I1539" s="204" t="s">
        <v>7456</v>
      </c>
    </row>
    <row r="1540" spans="1:10" x14ac:dyDescent="0.25">
      <c r="A1540" s="204" t="s">
        <v>1593</v>
      </c>
      <c r="B1540" s="9" t="str">
        <f t="shared" si="48"/>
        <v>50112300</v>
      </c>
      <c r="C1540" s="9" t="str">
        <f>VLOOKUP(B1540,COA!A:B,2,FALSE)</f>
        <v>Labor Maint Non-scheduled Overtime- WT</v>
      </c>
      <c r="D1540" s="338" t="str">
        <f t="shared" si="47"/>
        <v>C6014</v>
      </c>
      <c r="E1540" s="338" t="s">
        <v>8</v>
      </c>
      <c r="F1540" s="338" t="s">
        <v>9</v>
      </c>
      <c r="G1540" s="338" t="s">
        <v>7143</v>
      </c>
      <c r="H1540" s="204" t="s">
        <v>77</v>
      </c>
      <c r="I1540" s="204" t="s">
        <v>7457</v>
      </c>
    </row>
    <row r="1541" spans="1:10" x14ac:dyDescent="0.25">
      <c r="A1541" s="204" t="s">
        <v>1594</v>
      </c>
      <c r="B1541" s="9" t="str">
        <f t="shared" si="48"/>
        <v>50112305</v>
      </c>
      <c r="C1541" s="9" t="str">
        <f>VLOOKUP(B1541,COA!A:B,2,FALSE)</f>
        <v>Labor Maint Non-scheduled Overtime- WT Super &amp; Eng</v>
      </c>
      <c r="D1541" s="338" t="str">
        <f t="shared" si="47"/>
        <v>C6014</v>
      </c>
      <c r="E1541" s="338" t="s">
        <v>8</v>
      </c>
      <c r="F1541" s="338" t="s">
        <v>9</v>
      </c>
      <c r="G1541" s="338" t="s">
        <v>7143</v>
      </c>
      <c r="H1541" s="204" t="s">
        <v>77</v>
      </c>
      <c r="I1541" s="204" t="s">
        <v>7457</v>
      </c>
    </row>
    <row r="1542" spans="1:10" x14ac:dyDescent="0.25">
      <c r="A1542" s="204" t="s">
        <v>1595</v>
      </c>
      <c r="B1542" s="9" t="str">
        <f t="shared" si="48"/>
        <v>50112310</v>
      </c>
      <c r="C1542" s="9" t="str">
        <f>VLOOKUP(B1542,COA!A:B,2,FALSE)</f>
        <v>Labor Maint Non-scheduled OT - WT Struct &amp; Imp</v>
      </c>
      <c r="D1542" s="338" t="str">
        <f t="shared" si="47"/>
        <v>C6014</v>
      </c>
      <c r="E1542" s="338" t="s">
        <v>8</v>
      </c>
      <c r="F1542" s="338" t="s">
        <v>9</v>
      </c>
      <c r="G1542" s="338" t="s">
        <v>7143</v>
      </c>
      <c r="H1542" s="204" t="s">
        <v>77</v>
      </c>
      <c r="I1542" s="204" t="s">
        <v>7457</v>
      </c>
    </row>
    <row r="1543" spans="1:10" x14ac:dyDescent="0.25">
      <c r="A1543" s="204" t="s">
        <v>1596</v>
      </c>
      <c r="B1543" s="9" t="str">
        <f t="shared" si="48"/>
        <v>50112315</v>
      </c>
      <c r="C1543" s="9" t="str">
        <f>VLOOKUP(B1543,COA!A:B,2,FALSE)</f>
        <v>Labor Maint Non-scheduled Overtime- WT Equipment</v>
      </c>
      <c r="D1543" s="338" t="str">
        <f t="shared" si="47"/>
        <v>C6014</v>
      </c>
      <c r="E1543" s="338" t="s">
        <v>8</v>
      </c>
      <c r="F1543" s="338" t="s">
        <v>9</v>
      </c>
      <c r="G1543" s="338" t="s">
        <v>7143</v>
      </c>
      <c r="H1543" s="204" t="s">
        <v>77</v>
      </c>
      <c r="I1543" s="204" t="s">
        <v>7457</v>
      </c>
    </row>
    <row r="1544" spans="1:10" x14ac:dyDescent="0.25">
      <c r="A1544" s="204" t="s">
        <v>1597</v>
      </c>
      <c r="B1544" s="9" t="str">
        <f t="shared" si="48"/>
        <v>50112400</v>
      </c>
      <c r="C1544" s="9" t="str">
        <f>VLOOKUP(B1544,COA!A:B,2,FALSE)</f>
        <v>Labor Maint Non-scheduled Overtime- TD</v>
      </c>
      <c r="D1544" s="338" t="str">
        <f t="shared" si="47"/>
        <v>C6016</v>
      </c>
      <c r="E1544" s="338" t="s">
        <v>8</v>
      </c>
      <c r="F1544" s="338" t="s">
        <v>6978</v>
      </c>
      <c r="G1544" s="338" t="s">
        <v>7143</v>
      </c>
      <c r="H1544" s="204" t="s">
        <v>77</v>
      </c>
      <c r="I1544" s="204" t="s">
        <v>7458</v>
      </c>
    </row>
    <row r="1545" spans="1:10" x14ac:dyDescent="0.25">
      <c r="A1545" s="204" t="s">
        <v>1598</v>
      </c>
      <c r="B1545" s="9" t="str">
        <f t="shared" si="48"/>
        <v>50112405</v>
      </c>
      <c r="C1545" s="9" t="str">
        <f>VLOOKUP(B1545,COA!A:B,2,FALSE)</f>
        <v>Labor Maint Non-scheduled Overtime- TD Super &amp; Eng</v>
      </c>
      <c r="D1545" s="338" t="str">
        <f t="shared" si="47"/>
        <v>C6016</v>
      </c>
      <c r="E1545" s="338" t="s">
        <v>8</v>
      </c>
      <c r="F1545" s="338" t="s">
        <v>6978</v>
      </c>
      <c r="G1545" s="338" t="s">
        <v>7143</v>
      </c>
      <c r="H1545" s="204" t="s">
        <v>77</v>
      </c>
      <c r="I1545" s="204" t="s">
        <v>7458</v>
      </c>
    </row>
    <row r="1546" spans="1:10" x14ac:dyDescent="0.25">
      <c r="A1546" s="204" t="s">
        <v>1599</v>
      </c>
      <c r="B1546" s="9" t="str">
        <f t="shared" si="48"/>
        <v>50112410</v>
      </c>
      <c r="C1546" s="9" t="str">
        <f>VLOOKUP(B1546,COA!A:B,2,FALSE)</f>
        <v>Labor Maint Non-scheduled OT - TD Struct &amp; Imp</v>
      </c>
      <c r="D1546" s="338" t="str">
        <f t="shared" si="47"/>
        <v>C6016</v>
      </c>
      <c r="E1546" s="338" t="s">
        <v>8</v>
      </c>
      <c r="F1546" s="338" t="s">
        <v>6978</v>
      </c>
      <c r="G1546" s="338" t="s">
        <v>7143</v>
      </c>
      <c r="H1546" s="204" t="s">
        <v>77</v>
      </c>
      <c r="I1546" s="204" t="s">
        <v>7458</v>
      </c>
    </row>
    <row r="1547" spans="1:10" x14ac:dyDescent="0.25">
      <c r="A1547" s="204" t="s">
        <v>1600</v>
      </c>
      <c r="B1547" s="9" t="str">
        <f t="shared" si="48"/>
        <v>50112415</v>
      </c>
      <c r="C1547" s="9" t="str">
        <f>VLOOKUP(B1547,COA!A:B,2,FALSE)</f>
        <v>Labor Maint Non-scheduled Overtime- TD Dist Res</v>
      </c>
      <c r="D1547" s="338" t="str">
        <f t="shared" ref="D1547:D1610" si="49">+I1547</f>
        <v>C6016</v>
      </c>
      <c r="E1547" s="338" t="s">
        <v>8</v>
      </c>
      <c r="F1547" s="338" t="s">
        <v>6959</v>
      </c>
      <c r="G1547" s="338" t="s">
        <v>7143</v>
      </c>
      <c r="H1547" s="204" t="s">
        <v>77</v>
      </c>
      <c r="I1547" s="204" t="s">
        <v>7458</v>
      </c>
    </row>
    <row r="1548" spans="1:10" x14ac:dyDescent="0.25">
      <c r="A1548" s="204" t="s">
        <v>1601</v>
      </c>
      <c r="B1548" s="9" t="str">
        <f t="shared" si="48"/>
        <v>50112420</v>
      </c>
      <c r="C1548" s="9" t="str">
        <f>VLOOKUP(B1548,COA!A:B,2,FALSE)</f>
        <v>Labor Maint Non-scheduled Overtime- TD Mains</v>
      </c>
      <c r="D1548" s="338" t="str">
        <f t="shared" si="49"/>
        <v>C6016</v>
      </c>
      <c r="E1548" s="338" t="s">
        <v>8</v>
      </c>
      <c r="F1548" s="338" t="s">
        <v>6982</v>
      </c>
      <c r="G1548" s="338" t="s">
        <v>7143</v>
      </c>
      <c r="H1548" s="204" t="s">
        <v>77</v>
      </c>
      <c r="I1548" s="204" t="s">
        <v>7458</v>
      </c>
    </row>
    <row r="1549" spans="1:10" x14ac:dyDescent="0.25">
      <c r="A1549" s="204" t="s">
        <v>1602</v>
      </c>
      <c r="B1549" s="9" t="str">
        <f t="shared" si="48"/>
        <v>50112425</v>
      </c>
      <c r="C1549" s="9" t="str">
        <f>VLOOKUP(B1549,COA!A:B,2,FALSE)</f>
        <v>Labor Maint Non-scheduled Overtime- TD Fire Main</v>
      </c>
      <c r="D1549" s="338" t="str">
        <f t="shared" si="49"/>
        <v>C6016</v>
      </c>
      <c r="E1549" s="338" t="s">
        <v>8</v>
      </c>
      <c r="F1549" s="338" t="s">
        <v>30</v>
      </c>
      <c r="G1549" s="338" t="s">
        <v>7143</v>
      </c>
      <c r="H1549" s="204" t="s">
        <v>77</v>
      </c>
      <c r="I1549" s="204" t="s">
        <v>7458</v>
      </c>
    </row>
    <row r="1550" spans="1:10" x14ac:dyDescent="0.25">
      <c r="A1550" s="204" t="s">
        <v>1603</v>
      </c>
      <c r="B1550" s="9" t="str">
        <f t="shared" si="48"/>
        <v>50112430</v>
      </c>
      <c r="C1550" s="9" t="str">
        <f>VLOOKUP(B1550,COA!A:B,2,FALSE)</f>
        <v>Labor Maint Non-scheduled Overtime- TD Service</v>
      </c>
      <c r="D1550" s="338" t="str">
        <f t="shared" si="49"/>
        <v>C6016</v>
      </c>
      <c r="E1550" s="338" t="s">
        <v>8</v>
      </c>
      <c r="F1550" s="338" t="s">
        <v>27</v>
      </c>
      <c r="G1550" s="338" t="s">
        <v>7143</v>
      </c>
      <c r="H1550" s="204" t="s">
        <v>77</v>
      </c>
      <c r="I1550" s="204" t="s">
        <v>7458</v>
      </c>
    </row>
    <row r="1551" spans="1:10" x14ac:dyDescent="0.25">
      <c r="A1551" s="204" t="s">
        <v>1604</v>
      </c>
      <c r="B1551" s="9" t="str">
        <f t="shared" si="48"/>
        <v>50112435</v>
      </c>
      <c r="C1551" s="9" t="str">
        <f>VLOOKUP(B1551,COA!A:B,2,FALSE)</f>
        <v>Labor Maint Non-scheduled Overtime- TD Meter</v>
      </c>
      <c r="D1551" s="338" t="str">
        <f t="shared" si="49"/>
        <v>C6016</v>
      </c>
      <c r="E1551" s="338" t="s">
        <v>8</v>
      </c>
      <c r="F1551" s="338" t="s">
        <v>28</v>
      </c>
      <c r="G1551" s="338" t="s">
        <v>7143</v>
      </c>
      <c r="H1551" s="204" t="s">
        <v>77</v>
      </c>
      <c r="I1551" s="204" t="s">
        <v>7458</v>
      </c>
    </row>
    <row r="1552" spans="1:10" x14ac:dyDescent="0.25">
      <c r="A1552" s="204" t="s">
        <v>1605</v>
      </c>
      <c r="B1552" s="9" t="str">
        <f t="shared" si="48"/>
        <v>50112440</v>
      </c>
      <c r="C1552" s="9" t="str">
        <f>VLOOKUP(B1552,COA!A:B,2,FALSE)</f>
        <v>Labor Maint Non-scheduled Overtime- TD Hydrant</v>
      </c>
      <c r="D1552" s="338" t="str">
        <f t="shared" si="49"/>
        <v>C6016</v>
      </c>
      <c r="E1552" s="338" t="s">
        <v>8</v>
      </c>
      <c r="F1552" s="338" t="s">
        <v>30</v>
      </c>
      <c r="G1552" s="338" t="s">
        <v>7143</v>
      </c>
      <c r="H1552" s="204" t="s">
        <v>77</v>
      </c>
      <c r="I1552" s="204" t="s">
        <v>7458</v>
      </c>
      <c r="J1552" s="205"/>
    </row>
    <row r="1553" spans="1:10" x14ac:dyDescent="0.25">
      <c r="A1553" s="204" t="s">
        <v>1606</v>
      </c>
      <c r="B1553" s="9" t="str">
        <f t="shared" si="48"/>
        <v>50112600</v>
      </c>
      <c r="C1553" s="9" t="str">
        <f>VLOOKUP(B1553,COA!A:B,2,FALSE)</f>
        <v>Labor Maint Non-scheduled Overtime- AG</v>
      </c>
      <c r="D1553" s="338" t="str">
        <f t="shared" si="49"/>
        <v>C6018</v>
      </c>
      <c r="E1553" s="338" t="s">
        <v>8</v>
      </c>
      <c r="F1553" s="338" t="s">
        <v>6866</v>
      </c>
      <c r="G1553" s="338" t="s">
        <v>7143</v>
      </c>
      <c r="H1553" s="204" t="s">
        <v>77</v>
      </c>
      <c r="I1553" s="204" t="s">
        <v>7450</v>
      </c>
      <c r="J1553" s="205"/>
    </row>
    <row r="1554" spans="1:10" x14ac:dyDescent="0.25">
      <c r="A1554" s="204" t="s">
        <v>1607</v>
      </c>
      <c r="B1554" s="9" t="str">
        <f t="shared" si="48"/>
        <v>50119900</v>
      </c>
      <c r="C1554" s="9" t="str">
        <f>VLOOKUP(B1554,COA!A:B,2,FALSE)</f>
        <v>Labor Non-scheduled Overtime- Capitalized Credits</v>
      </c>
      <c r="D1554" s="338" t="str">
        <f t="shared" si="49"/>
        <v>C6018</v>
      </c>
      <c r="E1554" s="338" t="s">
        <v>6900</v>
      </c>
      <c r="F1554" s="338" t="s">
        <v>6866</v>
      </c>
      <c r="G1554" s="338" t="s">
        <v>7143</v>
      </c>
      <c r="H1554" s="204" t="s">
        <v>77</v>
      </c>
      <c r="I1554" s="204" t="s">
        <v>7450</v>
      </c>
      <c r="J1554" s="205"/>
    </row>
    <row r="1555" spans="1:10" x14ac:dyDescent="0.25">
      <c r="A1555" s="204" t="s">
        <v>1608</v>
      </c>
      <c r="B1555" s="9" t="str">
        <f t="shared" si="48"/>
        <v>50120000</v>
      </c>
      <c r="C1555" s="9" t="str">
        <f>VLOOKUP(B1555,COA!A:B,2,FALSE)</f>
        <v>Labor Overtime - Natural Account</v>
      </c>
      <c r="D1555" s="338" t="str">
        <f t="shared" si="49"/>
        <v>C6018</v>
      </c>
      <c r="E1555" s="338" t="s">
        <v>6900</v>
      </c>
      <c r="F1555" s="338" t="s">
        <v>6866</v>
      </c>
      <c r="G1555" s="338" t="s">
        <v>7143</v>
      </c>
      <c r="H1555" s="204" t="s">
        <v>77</v>
      </c>
      <c r="I1555" s="204" t="s">
        <v>7450</v>
      </c>
      <c r="J1555" s="205"/>
    </row>
    <row r="1556" spans="1:10" x14ac:dyDescent="0.25">
      <c r="A1556" s="204" t="s">
        <v>1609</v>
      </c>
      <c r="B1556" s="9" t="str">
        <f t="shared" si="48"/>
        <v>50121100</v>
      </c>
      <c r="C1556" s="9" t="str">
        <f>VLOOKUP(B1556,COA!A:B,2,FALSE)</f>
        <v>Labor Oper Scheduled Overtime-SS</v>
      </c>
      <c r="D1556" s="338" t="str">
        <f t="shared" si="49"/>
        <v>C6011</v>
      </c>
      <c r="E1556" s="338" t="s">
        <v>6900</v>
      </c>
      <c r="F1556" s="338" t="s">
        <v>23</v>
      </c>
      <c r="G1556" s="338" t="s">
        <v>7143</v>
      </c>
      <c r="H1556" s="204" t="s">
        <v>77</v>
      </c>
      <c r="I1556" s="204" t="s">
        <v>7451</v>
      </c>
    </row>
    <row r="1557" spans="1:10" x14ac:dyDescent="0.25">
      <c r="A1557" s="204" t="s">
        <v>1610</v>
      </c>
      <c r="B1557" s="9" t="str">
        <f t="shared" si="48"/>
        <v>50121105</v>
      </c>
      <c r="C1557" s="9" t="str">
        <f>VLOOKUP(B1557,COA!A:B,2,FALSE)</f>
        <v>Labor Oper Scheduled Overtime-SS Super &amp; Eng</v>
      </c>
      <c r="D1557" s="338" t="str">
        <f t="shared" si="49"/>
        <v>C6011</v>
      </c>
      <c r="E1557" s="338" t="s">
        <v>6900</v>
      </c>
      <c r="F1557" s="338" t="s">
        <v>23</v>
      </c>
      <c r="G1557" s="338" t="s">
        <v>7143</v>
      </c>
      <c r="H1557" s="204" t="s">
        <v>77</v>
      </c>
      <c r="I1557" s="204" t="s">
        <v>7451</v>
      </c>
      <c r="J1557" s="205"/>
    </row>
    <row r="1558" spans="1:10" x14ac:dyDescent="0.25">
      <c r="A1558" s="204" t="s">
        <v>1611</v>
      </c>
      <c r="B1558" s="9" t="str">
        <f t="shared" si="48"/>
        <v>50121200</v>
      </c>
      <c r="C1558" s="9" t="str">
        <f>VLOOKUP(B1558,COA!A:B,2,FALSE)</f>
        <v>Labor Oper Scheduled Overtime-P</v>
      </c>
      <c r="D1558" s="338" t="str">
        <f t="shared" si="49"/>
        <v>C6011</v>
      </c>
      <c r="E1558" s="338" t="s">
        <v>6900</v>
      </c>
      <c r="F1558" s="338" t="s">
        <v>6865</v>
      </c>
      <c r="G1558" s="338" t="s">
        <v>7143</v>
      </c>
      <c r="H1558" s="204" t="s">
        <v>77</v>
      </c>
      <c r="I1558" s="204" t="s">
        <v>7451</v>
      </c>
    </row>
    <row r="1559" spans="1:10" x14ac:dyDescent="0.25">
      <c r="A1559" s="204" t="s">
        <v>1612</v>
      </c>
      <c r="B1559" s="9" t="str">
        <f t="shared" si="48"/>
        <v>50121205</v>
      </c>
      <c r="C1559" s="9" t="str">
        <f>VLOOKUP(B1559,COA!A:B,2,FALSE)</f>
        <v>Labor Oper Scheduled Overtime-P Super &amp; Eng</v>
      </c>
      <c r="D1559" s="338" t="str">
        <f t="shared" si="49"/>
        <v>C6011</v>
      </c>
      <c r="E1559" s="338" t="s">
        <v>6900</v>
      </c>
      <c r="F1559" s="338" t="s">
        <v>6865</v>
      </c>
      <c r="G1559" s="338" t="s">
        <v>7143</v>
      </c>
      <c r="H1559" s="204" t="s">
        <v>77</v>
      </c>
      <c r="I1559" s="204" t="s">
        <v>7451</v>
      </c>
    </row>
    <row r="1560" spans="1:10" x14ac:dyDescent="0.25">
      <c r="A1560" s="204" t="s">
        <v>1613</v>
      </c>
      <c r="B1560" s="9" t="str">
        <f t="shared" si="48"/>
        <v>50121210</v>
      </c>
      <c r="C1560" s="9" t="str">
        <f>VLOOKUP(B1560,COA!A:B,2,FALSE)</f>
        <v>Labor Oper Scheduled Overtime-P Power Prod</v>
      </c>
      <c r="D1560" s="338" t="str">
        <f t="shared" si="49"/>
        <v>C6011</v>
      </c>
      <c r="E1560" s="338" t="s">
        <v>6900</v>
      </c>
      <c r="F1560" s="338" t="s">
        <v>6865</v>
      </c>
      <c r="G1560" s="338" t="s">
        <v>7143</v>
      </c>
      <c r="H1560" s="204" t="s">
        <v>77</v>
      </c>
      <c r="I1560" s="204" t="s">
        <v>7451</v>
      </c>
    </row>
    <row r="1561" spans="1:10" x14ac:dyDescent="0.25">
      <c r="A1561" s="204" t="s">
        <v>1614</v>
      </c>
      <c r="B1561" s="9" t="str">
        <f t="shared" si="48"/>
        <v>50121215</v>
      </c>
      <c r="C1561" s="9" t="str">
        <f>VLOOKUP(B1561,COA!A:B,2,FALSE)</f>
        <v>Labor Oper Scheduled Overtime-P Pump</v>
      </c>
      <c r="D1561" s="338" t="str">
        <f t="shared" si="49"/>
        <v>C6011</v>
      </c>
      <c r="E1561" s="338" t="s">
        <v>6900</v>
      </c>
      <c r="F1561" s="338" t="s">
        <v>6865</v>
      </c>
      <c r="G1561" s="338" t="s">
        <v>7143</v>
      </c>
      <c r="H1561" s="204" t="s">
        <v>77</v>
      </c>
      <c r="I1561" s="204" t="s">
        <v>7451</v>
      </c>
    </row>
    <row r="1562" spans="1:10" x14ac:dyDescent="0.25">
      <c r="A1562" s="204" t="s">
        <v>1615</v>
      </c>
      <c r="B1562" s="9" t="str">
        <f t="shared" si="48"/>
        <v>50121300</v>
      </c>
      <c r="C1562" s="9" t="str">
        <f>VLOOKUP(B1562,COA!A:B,2,FALSE)</f>
        <v>Labor Oper Scheduled Overtime-WT</v>
      </c>
      <c r="D1562" s="338" t="str">
        <f t="shared" si="49"/>
        <v>C6013</v>
      </c>
      <c r="E1562" s="338" t="s">
        <v>6900</v>
      </c>
      <c r="F1562" s="338" t="s">
        <v>9</v>
      </c>
      <c r="G1562" s="338" t="s">
        <v>7143</v>
      </c>
      <c r="H1562" s="204" t="s">
        <v>77</v>
      </c>
      <c r="I1562" s="204" t="s">
        <v>7452</v>
      </c>
    </row>
    <row r="1563" spans="1:10" x14ac:dyDescent="0.25">
      <c r="A1563" s="204" t="s">
        <v>1616</v>
      </c>
      <c r="B1563" s="9" t="str">
        <f t="shared" si="48"/>
        <v>50121305</v>
      </c>
      <c r="C1563" s="9" t="str">
        <f>VLOOKUP(B1563,COA!A:B,2,FALSE)</f>
        <v>Labor Oper Scheduled Overtime-WT Super &amp; Eng</v>
      </c>
      <c r="D1563" s="338" t="str">
        <f t="shared" si="49"/>
        <v>C6013</v>
      </c>
      <c r="E1563" s="338" t="s">
        <v>6900</v>
      </c>
      <c r="F1563" s="338" t="s">
        <v>9</v>
      </c>
      <c r="G1563" s="338" t="s">
        <v>7143</v>
      </c>
      <c r="H1563" s="204" t="s">
        <v>77</v>
      </c>
      <c r="I1563" s="204" t="s">
        <v>7452</v>
      </c>
    </row>
    <row r="1564" spans="1:10" x14ac:dyDescent="0.25">
      <c r="A1564" s="204" t="s">
        <v>1617</v>
      </c>
      <c r="B1564" s="9" t="str">
        <f t="shared" si="48"/>
        <v>50121400</v>
      </c>
      <c r="C1564" s="9" t="str">
        <f>VLOOKUP(B1564,COA!A:B,2,FALSE)</f>
        <v>Labor Oper Scheduled Overtime-TD</v>
      </c>
      <c r="D1564" s="338" t="str">
        <f t="shared" si="49"/>
        <v>C6015</v>
      </c>
      <c r="E1564" s="338" t="s">
        <v>6900</v>
      </c>
      <c r="F1564" s="338" t="s">
        <v>6978</v>
      </c>
      <c r="G1564" s="338" t="s">
        <v>7143</v>
      </c>
      <c r="H1564" s="204" t="s">
        <v>77</v>
      </c>
      <c r="I1564" s="204" t="s">
        <v>7453</v>
      </c>
    </row>
    <row r="1565" spans="1:10" x14ac:dyDescent="0.25">
      <c r="A1565" s="204" t="s">
        <v>1618</v>
      </c>
      <c r="B1565" s="9" t="str">
        <f t="shared" si="48"/>
        <v>50121405</v>
      </c>
      <c r="C1565" s="9" t="str">
        <f>VLOOKUP(B1565,COA!A:B,2,FALSE)</f>
        <v>Labor Oper Scheduled Overtime-TD Super &amp; Eng</v>
      </c>
      <c r="D1565" s="338" t="str">
        <f t="shared" si="49"/>
        <v>C6015</v>
      </c>
      <c r="E1565" s="338" t="s">
        <v>6900</v>
      </c>
      <c r="F1565" s="338" t="s">
        <v>6978</v>
      </c>
      <c r="G1565" s="338" t="s">
        <v>7143</v>
      </c>
      <c r="H1565" s="204" t="s">
        <v>77</v>
      </c>
      <c r="I1565" s="204" t="s">
        <v>7453</v>
      </c>
    </row>
    <row r="1566" spans="1:10" x14ac:dyDescent="0.25">
      <c r="A1566" s="204" t="s">
        <v>1619</v>
      </c>
      <c r="B1566" s="9" t="str">
        <f t="shared" si="48"/>
        <v>50121410</v>
      </c>
      <c r="C1566" s="9" t="str">
        <f>VLOOKUP(B1566,COA!A:B,2,FALSE)</f>
        <v>Labor Oper Scheduled Overtime-TD Storage Facility</v>
      </c>
      <c r="D1566" s="338" t="str">
        <f t="shared" si="49"/>
        <v>C6015</v>
      </c>
      <c r="E1566" s="338" t="s">
        <v>6900</v>
      </c>
      <c r="F1566" s="338" t="s">
        <v>6959</v>
      </c>
      <c r="G1566" s="338" t="s">
        <v>7143</v>
      </c>
      <c r="H1566" s="204" t="s">
        <v>77</v>
      </c>
      <c r="I1566" s="204" t="s">
        <v>7453</v>
      </c>
    </row>
    <row r="1567" spans="1:10" x14ac:dyDescent="0.25">
      <c r="A1567" s="204" t="s">
        <v>1620</v>
      </c>
      <c r="B1567" s="9" t="str">
        <f t="shared" si="48"/>
        <v>50121415</v>
      </c>
      <c r="C1567" s="9" t="str">
        <f>VLOOKUP(B1567,COA!A:B,2,FALSE)</f>
        <v>Labor Oper Scheduled Overtime-TD Lines</v>
      </c>
      <c r="D1567" s="338" t="str">
        <f t="shared" si="49"/>
        <v>C6015</v>
      </c>
      <c r="E1567" s="338" t="s">
        <v>6900</v>
      </c>
      <c r="F1567" s="338" t="s">
        <v>6982</v>
      </c>
      <c r="G1567" s="338" t="s">
        <v>7143</v>
      </c>
      <c r="H1567" s="204" t="s">
        <v>77</v>
      </c>
      <c r="I1567" s="204" t="s">
        <v>7453</v>
      </c>
    </row>
    <row r="1568" spans="1:10" x14ac:dyDescent="0.25">
      <c r="A1568" s="204" t="s">
        <v>1621</v>
      </c>
      <c r="B1568" s="9" t="str">
        <f t="shared" si="48"/>
        <v>50121420</v>
      </c>
      <c r="C1568" s="9" t="str">
        <f>VLOOKUP(B1568,COA!A:B,2,FALSE)</f>
        <v>Labor Oper Scheduled Overtime-TD Meter</v>
      </c>
      <c r="D1568" s="338" t="str">
        <f t="shared" si="49"/>
        <v>C6015</v>
      </c>
      <c r="E1568" s="338" t="s">
        <v>6900</v>
      </c>
      <c r="F1568" s="338" t="s">
        <v>28</v>
      </c>
      <c r="G1568" s="338" t="s">
        <v>7143</v>
      </c>
      <c r="H1568" s="204" t="s">
        <v>77</v>
      </c>
      <c r="I1568" s="204" t="s">
        <v>7453</v>
      </c>
    </row>
    <row r="1569" spans="1:10" x14ac:dyDescent="0.25">
      <c r="A1569" s="204" t="s">
        <v>1622</v>
      </c>
      <c r="B1569" s="9" t="str">
        <f t="shared" si="48"/>
        <v>50121425</v>
      </c>
      <c r="C1569" s="9" t="str">
        <f>VLOOKUP(B1569,COA!A:B,2,FALSE)</f>
        <v>Labor Oper Scheduled Overtime-TD Meter Install</v>
      </c>
      <c r="D1569" s="338" t="str">
        <f t="shared" si="49"/>
        <v>C6015</v>
      </c>
      <c r="E1569" s="338" t="s">
        <v>6900</v>
      </c>
      <c r="F1569" s="338" t="s">
        <v>28</v>
      </c>
      <c r="G1569" s="338" t="s">
        <v>7143</v>
      </c>
      <c r="H1569" s="204" t="s">
        <v>77</v>
      </c>
      <c r="I1569" s="204" t="s">
        <v>7453</v>
      </c>
    </row>
    <row r="1570" spans="1:10" x14ac:dyDescent="0.25">
      <c r="A1570" s="204" t="s">
        <v>1623</v>
      </c>
      <c r="B1570" s="9" t="str">
        <f t="shared" si="48"/>
        <v>50121500</v>
      </c>
      <c r="C1570" s="9" t="str">
        <f>VLOOKUP(B1570,COA!A:B,2,FALSE)</f>
        <v>Labor Oper Scheduled Overtime-CA</v>
      </c>
      <c r="D1570" s="338" t="str">
        <f t="shared" si="49"/>
        <v>C6017</v>
      </c>
      <c r="E1570" s="338" t="s">
        <v>6900</v>
      </c>
      <c r="F1570" s="338" t="s">
        <v>6958</v>
      </c>
      <c r="G1570" s="338" t="s">
        <v>7143</v>
      </c>
      <c r="H1570" s="204" t="s">
        <v>77</v>
      </c>
      <c r="I1570" s="204" t="s">
        <v>7454</v>
      </c>
    </row>
    <row r="1571" spans="1:10" x14ac:dyDescent="0.25">
      <c r="A1571" s="204" t="s">
        <v>1624</v>
      </c>
      <c r="B1571" s="9" t="str">
        <f t="shared" si="48"/>
        <v>50121505</v>
      </c>
      <c r="C1571" s="9" t="str">
        <f>VLOOKUP(B1571,COA!A:B,2,FALSE)</f>
        <v>Labor Oper Scheduled Overtime-CA Super &amp; Eng</v>
      </c>
      <c r="D1571" s="338" t="str">
        <f t="shared" si="49"/>
        <v>C6017</v>
      </c>
      <c r="E1571" s="338" t="s">
        <v>6900</v>
      </c>
      <c r="F1571" s="338" t="s">
        <v>6958</v>
      </c>
      <c r="G1571" s="338" t="s">
        <v>7143</v>
      </c>
      <c r="H1571" s="204" t="s">
        <v>77</v>
      </c>
      <c r="I1571" s="204" t="s">
        <v>7454</v>
      </c>
    </row>
    <row r="1572" spans="1:10" x14ac:dyDescent="0.25">
      <c r="A1572" s="204" t="s">
        <v>1625</v>
      </c>
      <c r="B1572" s="9" t="str">
        <f t="shared" si="48"/>
        <v>50121510</v>
      </c>
      <c r="C1572" s="9" t="str">
        <f>VLOOKUP(B1572,COA!A:B,2,FALSE)</f>
        <v>Labor Oper Scheduled Overtime-CA Merer Read</v>
      </c>
      <c r="D1572" s="338" t="str">
        <f t="shared" si="49"/>
        <v>C6017</v>
      </c>
      <c r="E1572" s="338" t="s">
        <v>6900</v>
      </c>
      <c r="F1572" s="338" t="s">
        <v>6958</v>
      </c>
      <c r="G1572" s="338" t="s">
        <v>7143</v>
      </c>
      <c r="H1572" s="204" t="s">
        <v>77</v>
      </c>
      <c r="I1572" s="204" t="s">
        <v>7454</v>
      </c>
    </row>
    <row r="1573" spans="1:10" x14ac:dyDescent="0.25">
      <c r="A1573" s="204" t="s">
        <v>1626</v>
      </c>
      <c r="B1573" s="9" t="str">
        <f t="shared" si="48"/>
        <v>50121515</v>
      </c>
      <c r="C1573" s="9" t="str">
        <f>VLOOKUP(B1573,COA!A:B,2,FALSE)</f>
        <v>Labor Oper Scheduled Overtime-CA Cust Rec &amp; Coll</v>
      </c>
      <c r="D1573" s="338" t="str">
        <f t="shared" si="49"/>
        <v>C6017</v>
      </c>
      <c r="E1573" s="338" t="s">
        <v>6900</v>
      </c>
      <c r="F1573" s="338" t="s">
        <v>6958</v>
      </c>
      <c r="G1573" s="338" t="s">
        <v>7143</v>
      </c>
      <c r="H1573" s="204" t="s">
        <v>77</v>
      </c>
      <c r="I1573" s="204" t="s">
        <v>7454</v>
      </c>
    </row>
    <row r="1574" spans="1:10" x14ac:dyDescent="0.25">
      <c r="A1574" s="204" t="s">
        <v>1627</v>
      </c>
      <c r="B1574" s="9" t="str">
        <f t="shared" si="48"/>
        <v>50121520</v>
      </c>
      <c r="C1574" s="9" t="str">
        <f>VLOOKUP(B1574,COA!A:B,2,FALSE)</f>
        <v>Labor Oper Scheduled Overtime-CA Cust Serv &amp; Info</v>
      </c>
      <c r="D1574" s="338" t="str">
        <f t="shared" si="49"/>
        <v>C6017</v>
      </c>
      <c r="E1574" s="338" t="s">
        <v>6900</v>
      </c>
      <c r="F1574" s="338" t="s">
        <v>6958</v>
      </c>
      <c r="G1574" s="338" t="s">
        <v>7143</v>
      </c>
      <c r="H1574" s="204" t="s">
        <v>77</v>
      </c>
      <c r="I1574" s="204" t="s">
        <v>7454</v>
      </c>
    </row>
    <row r="1575" spans="1:10" x14ac:dyDescent="0.25">
      <c r="A1575" s="204" t="s">
        <v>1628</v>
      </c>
      <c r="B1575" s="9" t="str">
        <f t="shared" si="48"/>
        <v>50121600</v>
      </c>
      <c r="C1575" s="9" t="str">
        <f>VLOOKUP(B1575,COA!A:B,2,FALSE)</f>
        <v>Labor Oper Scheduled Overtime-AG</v>
      </c>
      <c r="D1575" s="338" t="str">
        <f t="shared" si="49"/>
        <v>C6018</v>
      </c>
      <c r="E1575" s="338" t="s">
        <v>6900</v>
      </c>
      <c r="F1575" s="338" t="s">
        <v>6866</v>
      </c>
      <c r="G1575" s="338" t="s">
        <v>7143</v>
      </c>
      <c r="H1575" s="204" t="s">
        <v>77</v>
      </c>
      <c r="I1575" s="204" t="s">
        <v>7450</v>
      </c>
    </row>
    <row r="1576" spans="1:10" x14ac:dyDescent="0.25">
      <c r="A1576" s="204" t="s">
        <v>1629</v>
      </c>
      <c r="B1576" s="9" t="str">
        <f t="shared" si="48"/>
        <v>50122100</v>
      </c>
      <c r="C1576" s="9" t="str">
        <f>VLOOKUP(B1576,COA!A:B,2,FALSE)</f>
        <v>Labor Maint Scheduled Overtime-SS</v>
      </c>
      <c r="D1576" s="338" t="str">
        <f t="shared" si="49"/>
        <v>C6012</v>
      </c>
      <c r="E1576" s="338" t="s">
        <v>8</v>
      </c>
      <c r="F1576" s="338" t="s">
        <v>23</v>
      </c>
      <c r="G1576" s="338" t="s">
        <v>7143</v>
      </c>
      <c r="H1576" s="204" t="s">
        <v>77</v>
      </c>
      <c r="I1576" s="204" t="s">
        <v>7456</v>
      </c>
    </row>
    <row r="1577" spans="1:10" x14ac:dyDescent="0.25">
      <c r="A1577" s="204" t="s">
        <v>1630</v>
      </c>
      <c r="B1577" s="9" t="str">
        <f t="shared" si="48"/>
        <v>50122105</v>
      </c>
      <c r="C1577" s="9" t="str">
        <f>VLOOKUP(B1577,COA!A:B,2,FALSE)</f>
        <v>Labor Maint Scheduled Overtime-SS Super &amp; Eng</v>
      </c>
      <c r="D1577" s="338" t="str">
        <f t="shared" si="49"/>
        <v>C6012</v>
      </c>
      <c r="E1577" s="338" t="s">
        <v>8</v>
      </c>
      <c r="F1577" s="338" t="s">
        <v>23</v>
      </c>
      <c r="G1577" s="338" t="s">
        <v>7143</v>
      </c>
      <c r="H1577" s="204" t="s">
        <v>77</v>
      </c>
      <c r="I1577" s="204" t="s">
        <v>7456</v>
      </c>
    </row>
    <row r="1578" spans="1:10" x14ac:dyDescent="0.25">
      <c r="A1578" s="204" t="s">
        <v>1631</v>
      </c>
      <c r="B1578" s="9" t="str">
        <f t="shared" si="48"/>
        <v>50122110</v>
      </c>
      <c r="C1578" s="9" t="str">
        <f>VLOOKUP(B1578,COA!A:B,2,FALSE)</f>
        <v>Labor Maint Scheduled Overtime-SS Struct &amp; Imp</v>
      </c>
      <c r="D1578" s="338" t="str">
        <f t="shared" si="49"/>
        <v>C6012</v>
      </c>
      <c r="E1578" s="338" t="s">
        <v>8</v>
      </c>
      <c r="F1578" s="338" t="s">
        <v>23</v>
      </c>
      <c r="G1578" s="338" t="s">
        <v>7143</v>
      </c>
      <c r="H1578" s="204" t="s">
        <v>77</v>
      </c>
      <c r="I1578" s="204" t="s">
        <v>7456</v>
      </c>
    </row>
    <row r="1579" spans="1:10" x14ac:dyDescent="0.25">
      <c r="A1579" s="204" t="s">
        <v>1632</v>
      </c>
      <c r="B1579" s="9" t="str">
        <f t="shared" si="48"/>
        <v>50122115</v>
      </c>
      <c r="C1579" s="9" t="str">
        <f>VLOOKUP(B1579,COA!A:B,2,FALSE)</f>
        <v>Labor Maint Scheduled Overtime-SS Coll &amp; Imp</v>
      </c>
      <c r="D1579" s="338" t="str">
        <f t="shared" si="49"/>
        <v>C6012</v>
      </c>
      <c r="E1579" s="338" t="s">
        <v>8</v>
      </c>
      <c r="F1579" s="338" t="s">
        <v>23</v>
      </c>
      <c r="G1579" s="338" t="s">
        <v>7143</v>
      </c>
      <c r="H1579" s="204" t="s">
        <v>77</v>
      </c>
      <c r="I1579" s="204" t="s">
        <v>7456</v>
      </c>
    </row>
    <row r="1580" spans="1:10" x14ac:dyDescent="0.25">
      <c r="A1580" s="204" t="s">
        <v>1633</v>
      </c>
      <c r="B1580" s="9" t="str">
        <f t="shared" si="48"/>
        <v>50122120</v>
      </c>
      <c r="C1580" s="9" t="str">
        <f>VLOOKUP(B1580,COA!A:B,2,FALSE)</f>
        <v>Labor Maint Scheduled Overtime-SS Lake</v>
      </c>
      <c r="D1580" s="338" t="str">
        <f t="shared" si="49"/>
        <v>C6012</v>
      </c>
      <c r="E1580" s="338" t="s">
        <v>8</v>
      </c>
      <c r="F1580" s="338" t="s">
        <v>23</v>
      </c>
      <c r="G1580" s="338" t="s">
        <v>7143</v>
      </c>
      <c r="H1580" s="204" t="s">
        <v>77</v>
      </c>
      <c r="I1580" s="204" t="s">
        <v>7456</v>
      </c>
    </row>
    <row r="1581" spans="1:10" x14ac:dyDescent="0.25">
      <c r="A1581" s="204" t="s">
        <v>1634</v>
      </c>
      <c r="B1581" s="9" t="str">
        <f t="shared" si="48"/>
        <v>50122125</v>
      </c>
      <c r="C1581" s="9" t="str">
        <f>VLOOKUP(B1581,COA!A:B,2,FALSE)</f>
        <v>Labor Maint Scheduled Overtime-SS Wells</v>
      </c>
      <c r="D1581" s="338" t="str">
        <f t="shared" si="49"/>
        <v>C6012</v>
      </c>
      <c r="E1581" s="338" t="s">
        <v>8</v>
      </c>
      <c r="F1581" s="338" t="s">
        <v>23</v>
      </c>
      <c r="G1581" s="338" t="s">
        <v>7143</v>
      </c>
      <c r="H1581" s="204" t="s">
        <v>77</v>
      </c>
      <c r="I1581" s="204" t="s">
        <v>7456</v>
      </c>
    </row>
    <row r="1582" spans="1:10" x14ac:dyDescent="0.25">
      <c r="A1582" s="204" t="s">
        <v>1635</v>
      </c>
      <c r="B1582" s="9" t="str">
        <f t="shared" ref="B1582:B1645" si="50">RIGHT(A1582,8)</f>
        <v>50122130</v>
      </c>
      <c r="C1582" s="9" t="str">
        <f>VLOOKUP(B1582,COA!A:B,2,FALSE)</f>
        <v>Labor Maint Scheduled Overtime-SS Infilt Gallery</v>
      </c>
      <c r="D1582" s="338" t="str">
        <f t="shared" si="49"/>
        <v>C6012</v>
      </c>
      <c r="E1582" s="338" t="s">
        <v>8</v>
      </c>
      <c r="F1582" s="338" t="s">
        <v>23</v>
      </c>
      <c r="G1582" s="338" t="s">
        <v>7143</v>
      </c>
      <c r="H1582" s="204" t="s">
        <v>77</v>
      </c>
      <c r="I1582" s="204" t="s">
        <v>7456</v>
      </c>
      <c r="J1582" s="205"/>
    </row>
    <row r="1583" spans="1:10" x14ac:dyDescent="0.25">
      <c r="A1583" s="204" t="s">
        <v>1636</v>
      </c>
      <c r="B1583" s="9" t="str">
        <f t="shared" si="50"/>
        <v>50122135</v>
      </c>
      <c r="C1583" s="9" t="str">
        <f>VLOOKUP(B1583,COA!A:B,2,FALSE)</f>
        <v>Labor Maint Scheduled Overtime-SS Supply Main</v>
      </c>
      <c r="D1583" s="338" t="str">
        <f t="shared" si="49"/>
        <v>C6012</v>
      </c>
      <c r="E1583" s="338" t="s">
        <v>8</v>
      </c>
      <c r="F1583" s="338" t="s">
        <v>23</v>
      </c>
      <c r="G1583" s="338" t="s">
        <v>7143</v>
      </c>
      <c r="H1583" s="204" t="s">
        <v>77</v>
      </c>
      <c r="I1583" s="204" t="s">
        <v>7456</v>
      </c>
    </row>
    <row r="1584" spans="1:10" x14ac:dyDescent="0.25">
      <c r="A1584" s="204" t="s">
        <v>1637</v>
      </c>
      <c r="B1584" s="9" t="str">
        <f t="shared" si="50"/>
        <v>50122200</v>
      </c>
      <c r="C1584" s="9" t="str">
        <f>VLOOKUP(B1584,COA!A:B,2,FALSE)</f>
        <v>Labor Maint Scheduled Overtime-P</v>
      </c>
      <c r="D1584" s="338" t="str">
        <f t="shared" si="49"/>
        <v>C6012</v>
      </c>
      <c r="E1584" s="338" t="s">
        <v>8</v>
      </c>
      <c r="F1584" s="338" t="s">
        <v>6865</v>
      </c>
      <c r="G1584" s="338" t="s">
        <v>7143</v>
      </c>
      <c r="H1584" s="204" t="s">
        <v>77</v>
      </c>
      <c r="I1584" s="204" t="s">
        <v>7456</v>
      </c>
    </row>
    <row r="1585" spans="1:9" x14ac:dyDescent="0.25">
      <c r="A1585" s="204" t="s">
        <v>1638</v>
      </c>
      <c r="B1585" s="9" t="str">
        <f t="shared" si="50"/>
        <v>50122205</v>
      </c>
      <c r="C1585" s="9" t="str">
        <f>VLOOKUP(B1585,COA!A:B,2,FALSE)</f>
        <v>Labor Maint Scheduled Overtime-P Super &amp; Eng</v>
      </c>
      <c r="D1585" s="338" t="str">
        <f t="shared" si="49"/>
        <v>C6012</v>
      </c>
      <c r="E1585" s="338" t="s">
        <v>8</v>
      </c>
      <c r="F1585" s="338" t="s">
        <v>6865</v>
      </c>
      <c r="G1585" s="338" t="s">
        <v>7143</v>
      </c>
      <c r="H1585" s="204" t="s">
        <v>77</v>
      </c>
      <c r="I1585" s="204" t="s">
        <v>7456</v>
      </c>
    </row>
    <row r="1586" spans="1:9" x14ac:dyDescent="0.25">
      <c r="A1586" s="204" t="s">
        <v>1639</v>
      </c>
      <c r="B1586" s="9" t="str">
        <f t="shared" si="50"/>
        <v>50122210</v>
      </c>
      <c r="C1586" s="9" t="str">
        <f>VLOOKUP(B1586,COA!A:B,2,FALSE)</f>
        <v>Labor Maint Scheduled Overtime-P Struct &amp; Imp</v>
      </c>
      <c r="D1586" s="338" t="str">
        <f t="shared" si="49"/>
        <v>C6012</v>
      </c>
      <c r="E1586" s="338" t="s">
        <v>8</v>
      </c>
      <c r="F1586" s="338" t="s">
        <v>6865</v>
      </c>
      <c r="G1586" s="338" t="s">
        <v>7143</v>
      </c>
      <c r="H1586" s="204" t="s">
        <v>77</v>
      </c>
      <c r="I1586" s="204" t="s">
        <v>7456</v>
      </c>
    </row>
    <row r="1587" spans="1:9" x14ac:dyDescent="0.25">
      <c r="A1587" s="204" t="s">
        <v>1640</v>
      </c>
      <c r="B1587" s="9" t="str">
        <f t="shared" si="50"/>
        <v>50122215</v>
      </c>
      <c r="C1587" s="9" t="str">
        <f>VLOOKUP(B1587,COA!A:B,2,FALSE)</f>
        <v>Labor Maint Scheduled Overtime-P Power Prod</v>
      </c>
      <c r="D1587" s="338" t="str">
        <f t="shared" si="49"/>
        <v>C6012</v>
      </c>
      <c r="E1587" s="338" t="s">
        <v>8</v>
      </c>
      <c r="F1587" s="338" t="s">
        <v>6865</v>
      </c>
      <c r="G1587" s="338" t="s">
        <v>7143</v>
      </c>
      <c r="H1587" s="204" t="s">
        <v>77</v>
      </c>
      <c r="I1587" s="204" t="s">
        <v>7456</v>
      </c>
    </row>
    <row r="1588" spans="1:9" x14ac:dyDescent="0.25">
      <c r="A1588" s="204" t="s">
        <v>1641</v>
      </c>
      <c r="B1588" s="9" t="str">
        <f t="shared" si="50"/>
        <v>50122300</v>
      </c>
      <c r="C1588" s="9" t="str">
        <f>VLOOKUP(B1588,COA!A:B,2,FALSE)</f>
        <v>Labor Maint Scheduled Overtime-WT</v>
      </c>
      <c r="D1588" s="338" t="str">
        <f t="shared" si="49"/>
        <v>C6014</v>
      </c>
      <c r="E1588" s="338" t="s">
        <v>8</v>
      </c>
      <c r="F1588" s="338" t="s">
        <v>9</v>
      </c>
      <c r="G1588" s="338" t="s">
        <v>7143</v>
      </c>
      <c r="H1588" s="204" t="s">
        <v>77</v>
      </c>
      <c r="I1588" s="204" t="s">
        <v>7457</v>
      </c>
    </row>
    <row r="1589" spans="1:9" x14ac:dyDescent="0.25">
      <c r="A1589" s="204" t="s">
        <v>1642</v>
      </c>
      <c r="B1589" s="9" t="str">
        <f t="shared" si="50"/>
        <v>50122305</v>
      </c>
      <c r="C1589" s="9" t="str">
        <f>VLOOKUP(B1589,COA!A:B,2,FALSE)</f>
        <v>Labor Maint Scheduled Overtime-WT Super &amp; Eng</v>
      </c>
      <c r="D1589" s="338" t="str">
        <f t="shared" si="49"/>
        <v>C6014</v>
      </c>
      <c r="E1589" s="338" t="s">
        <v>8</v>
      </c>
      <c r="F1589" s="338" t="s">
        <v>9</v>
      </c>
      <c r="G1589" s="338" t="s">
        <v>7143</v>
      </c>
      <c r="H1589" s="204" t="s">
        <v>77</v>
      </c>
      <c r="I1589" s="204" t="s">
        <v>7457</v>
      </c>
    </row>
    <row r="1590" spans="1:9" x14ac:dyDescent="0.25">
      <c r="A1590" s="204" t="s">
        <v>1643</v>
      </c>
      <c r="B1590" s="9" t="str">
        <f t="shared" si="50"/>
        <v>50122310</v>
      </c>
      <c r="C1590" s="9" t="str">
        <f>VLOOKUP(B1590,COA!A:B,2,FALSE)</f>
        <v>Labor Maint Scheduled Overtime-WT Struct &amp; Imp</v>
      </c>
      <c r="D1590" s="338" t="str">
        <f t="shared" si="49"/>
        <v>C6014</v>
      </c>
      <c r="E1590" s="338" t="s">
        <v>8</v>
      </c>
      <c r="F1590" s="338" t="s">
        <v>9</v>
      </c>
      <c r="G1590" s="338" t="s">
        <v>7143</v>
      </c>
      <c r="H1590" s="204" t="s">
        <v>77</v>
      </c>
      <c r="I1590" s="204" t="s">
        <v>7457</v>
      </c>
    </row>
    <row r="1591" spans="1:9" x14ac:dyDescent="0.25">
      <c r="A1591" s="204" t="s">
        <v>1644</v>
      </c>
      <c r="B1591" s="9" t="str">
        <f t="shared" si="50"/>
        <v>50122315</v>
      </c>
      <c r="C1591" s="9" t="str">
        <f>VLOOKUP(B1591,COA!A:B,2,FALSE)</f>
        <v>Labor Maint Scheduled Overtime-WT Equipment</v>
      </c>
      <c r="D1591" s="338" t="str">
        <f t="shared" si="49"/>
        <v>C6014</v>
      </c>
      <c r="E1591" s="338" t="s">
        <v>8</v>
      </c>
      <c r="F1591" s="338" t="s">
        <v>9</v>
      </c>
      <c r="G1591" s="338" t="s">
        <v>7143</v>
      </c>
      <c r="H1591" s="204" t="s">
        <v>77</v>
      </c>
      <c r="I1591" s="204" t="s">
        <v>7457</v>
      </c>
    </row>
    <row r="1592" spans="1:9" x14ac:dyDescent="0.25">
      <c r="A1592" s="204" t="s">
        <v>1645</v>
      </c>
      <c r="B1592" s="9" t="str">
        <f t="shared" si="50"/>
        <v>50122400</v>
      </c>
      <c r="C1592" s="9" t="str">
        <f>VLOOKUP(B1592,COA!A:B,2,FALSE)</f>
        <v>Labor Maint Scheduled Overtime-TD</v>
      </c>
      <c r="D1592" s="338" t="str">
        <f t="shared" si="49"/>
        <v>C6016</v>
      </c>
      <c r="E1592" s="338" t="s">
        <v>8</v>
      </c>
      <c r="F1592" s="338" t="s">
        <v>6978</v>
      </c>
      <c r="G1592" s="338" t="s">
        <v>7143</v>
      </c>
      <c r="H1592" s="204" t="s">
        <v>77</v>
      </c>
      <c r="I1592" s="204" t="s">
        <v>7458</v>
      </c>
    </row>
    <row r="1593" spans="1:9" x14ac:dyDescent="0.25">
      <c r="A1593" s="204" t="s">
        <v>1646</v>
      </c>
      <c r="B1593" s="9" t="str">
        <f t="shared" si="50"/>
        <v>50122405</v>
      </c>
      <c r="C1593" s="9" t="str">
        <f>VLOOKUP(B1593,COA!A:B,2,FALSE)</f>
        <v>Labor Maint Scheduled Overtime-TD Super &amp; Eng</v>
      </c>
      <c r="D1593" s="338" t="str">
        <f t="shared" si="49"/>
        <v>C6016</v>
      </c>
      <c r="E1593" s="338" t="s">
        <v>8</v>
      </c>
      <c r="F1593" s="338" t="s">
        <v>6978</v>
      </c>
      <c r="G1593" s="338" t="s">
        <v>7143</v>
      </c>
      <c r="H1593" s="204" t="s">
        <v>77</v>
      </c>
      <c r="I1593" s="204" t="s">
        <v>7458</v>
      </c>
    </row>
    <row r="1594" spans="1:9" x14ac:dyDescent="0.25">
      <c r="A1594" s="204" t="s">
        <v>1647</v>
      </c>
      <c r="B1594" s="9" t="str">
        <f t="shared" si="50"/>
        <v>50122410</v>
      </c>
      <c r="C1594" s="9" t="str">
        <f>VLOOKUP(B1594,COA!A:B,2,FALSE)</f>
        <v>Labor Maint Scheduled Overtime-TD Struct &amp; Imp</v>
      </c>
      <c r="D1594" s="338" t="str">
        <f t="shared" si="49"/>
        <v>C6016</v>
      </c>
      <c r="E1594" s="338" t="s">
        <v>8</v>
      </c>
      <c r="F1594" s="338" t="s">
        <v>6978</v>
      </c>
      <c r="G1594" s="338" t="s">
        <v>7143</v>
      </c>
      <c r="H1594" s="204" t="s">
        <v>77</v>
      </c>
      <c r="I1594" s="204" t="s">
        <v>7458</v>
      </c>
    </row>
    <row r="1595" spans="1:9" x14ac:dyDescent="0.25">
      <c r="A1595" s="204" t="s">
        <v>1648</v>
      </c>
      <c r="B1595" s="9" t="str">
        <f t="shared" si="50"/>
        <v>50122415</v>
      </c>
      <c r="C1595" s="9" t="str">
        <f>VLOOKUP(B1595,COA!A:B,2,FALSE)</f>
        <v>Labor Maint Scheduled Overtime-TD Dist Res</v>
      </c>
      <c r="D1595" s="338" t="str">
        <f t="shared" si="49"/>
        <v>C6016</v>
      </c>
      <c r="E1595" s="338" t="s">
        <v>8</v>
      </c>
      <c r="F1595" s="338" t="s">
        <v>6959</v>
      </c>
      <c r="G1595" s="338" t="s">
        <v>7143</v>
      </c>
      <c r="H1595" s="204" t="s">
        <v>77</v>
      </c>
      <c r="I1595" s="204" t="s">
        <v>7458</v>
      </c>
    </row>
    <row r="1596" spans="1:9" x14ac:dyDescent="0.25">
      <c r="A1596" s="204" t="s">
        <v>1649</v>
      </c>
      <c r="B1596" s="9" t="str">
        <f t="shared" si="50"/>
        <v>50122420</v>
      </c>
      <c r="C1596" s="9" t="str">
        <f>VLOOKUP(B1596,COA!A:B,2,FALSE)</f>
        <v>Labor Maint Scheduled Overtime-TD Mains</v>
      </c>
      <c r="D1596" s="338" t="str">
        <f t="shared" si="49"/>
        <v>C6016</v>
      </c>
      <c r="E1596" s="338" t="s">
        <v>8</v>
      </c>
      <c r="F1596" s="338" t="s">
        <v>6982</v>
      </c>
      <c r="G1596" s="338" t="s">
        <v>7143</v>
      </c>
      <c r="H1596" s="204" t="s">
        <v>77</v>
      </c>
      <c r="I1596" s="204" t="s">
        <v>7458</v>
      </c>
    </row>
    <row r="1597" spans="1:9" x14ac:dyDescent="0.25">
      <c r="A1597" s="204" t="s">
        <v>1650</v>
      </c>
      <c r="B1597" s="9" t="str">
        <f t="shared" si="50"/>
        <v>50122425</v>
      </c>
      <c r="C1597" s="9" t="str">
        <f>VLOOKUP(B1597,COA!A:B,2,FALSE)</f>
        <v>Labor Maint Scheduled Overtime-TD Fire Main</v>
      </c>
      <c r="D1597" s="338" t="str">
        <f t="shared" si="49"/>
        <v>C6016</v>
      </c>
      <c r="E1597" s="338" t="s">
        <v>8</v>
      </c>
      <c r="F1597" s="338" t="s">
        <v>30</v>
      </c>
      <c r="G1597" s="338" t="s">
        <v>7143</v>
      </c>
      <c r="H1597" s="204" t="s">
        <v>77</v>
      </c>
      <c r="I1597" s="204" t="s">
        <v>7458</v>
      </c>
    </row>
    <row r="1598" spans="1:9" x14ac:dyDescent="0.25">
      <c r="A1598" s="204" t="s">
        <v>1651</v>
      </c>
      <c r="B1598" s="9" t="str">
        <f t="shared" si="50"/>
        <v>50122430</v>
      </c>
      <c r="C1598" s="9" t="str">
        <f>VLOOKUP(B1598,COA!A:B,2,FALSE)</f>
        <v>Labor Maint Scheduled Overtime-TD Service</v>
      </c>
      <c r="D1598" s="338" t="str">
        <f t="shared" si="49"/>
        <v>C6016</v>
      </c>
      <c r="E1598" s="338" t="s">
        <v>8</v>
      </c>
      <c r="F1598" s="338" t="s">
        <v>27</v>
      </c>
      <c r="G1598" s="338" t="s">
        <v>7143</v>
      </c>
      <c r="H1598" s="204" t="s">
        <v>77</v>
      </c>
      <c r="I1598" s="204" t="s">
        <v>7458</v>
      </c>
    </row>
    <row r="1599" spans="1:9" x14ac:dyDescent="0.25">
      <c r="A1599" s="204" t="s">
        <v>1652</v>
      </c>
      <c r="B1599" s="9" t="str">
        <f t="shared" si="50"/>
        <v>50122435</v>
      </c>
      <c r="C1599" s="9" t="str">
        <f>VLOOKUP(B1599,COA!A:B,2,FALSE)</f>
        <v>Labor Maint Scheduled Overtime-TD Meter</v>
      </c>
      <c r="D1599" s="338" t="str">
        <f t="shared" si="49"/>
        <v>C6016</v>
      </c>
      <c r="E1599" s="338" t="s">
        <v>8</v>
      </c>
      <c r="F1599" s="338" t="s">
        <v>28</v>
      </c>
      <c r="G1599" s="338" t="s">
        <v>7143</v>
      </c>
      <c r="H1599" s="204" t="s">
        <v>77</v>
      </c>
      <c r="I1599" s="204" t="s">
        <v>7458</v>
      </c>
    </row>
    <row r="1600" spans="1:9" x14ac:dyDescent="0.25">
      <c r="A1600" s="204" t="s">
        <v>1653</v>
      </c>
      <c r="B1600" s="9" t="str">
        <f t="shared" si="50"/>
        <v>50122440</v>
      </c>
      <c r="C1600" s="9" t="str">
        <f>VLOOKUP(B1600,COA!A:B,2,FALSE)</f>
        <v>Labor Maint Scheduled Overtime-TD Hydrant</v>
      </c>
      <c r="D1600" s="338" t="str">
        <f t="shared" si="49"/>
        <v>C6016</v>
      </c>
      <c r="E1600" s="338" t="s">
        <v>8</v>
      </c>
      <c r="F1600" s="338" t="s">
        <v>30</v>
      </c>
      <c r="G1600" s="338" t="s">
        <v>7143</v>
      </c>
      <c r="H1600" s="204" t="s">
        <v>77</v>
      </c>
      <c r="I1600" s="204" t="s">
        <v>7458</v>
      </c>
    </row>
    <row r="1601" spans="1:10" x14ac:dyDescent="0.25">
      <c r="A1601" s="204" t="s">
        <v>1654</v>
      </c>
      <c r="B1601" s="9" t="str">
        <f t="shared" si="50"/>
        <v>50122600</v>
      </c>
      <c r="C1601" s="9" t="str">
        <f>VLOOKUP(B1601,COA!A:B,2,FALSE)</f>
        <v>Labor Maint Scheduled Overtime-AG</v>
      </c>
      <c r="D1601" s="338" t="str">
        <f t="shared" si="49"/>
        <v>C6018</v>
      </c>
      <c r="E1601" s="338" t="s">
        <v>8</v>
      </c>
      <c r="F1601" s="338" t="s">
        <v>6866</v>
      </c>
      <c r="G1601" s="338" t="s">
        <v>7143</v>
      </c>
      <c r="H1601" s="204" t="s">
        <v>77</v>
      </c>
      <c r="I1601" s="204" t="s">
        <v>7450</v>
      </c>
    </row>
    <row r="1602" spans="1:10" x14ac:dyDescent="0.25">
      <c r="A1602" s="204" t="s">
        <v>1655</v>
      </c>
      <c r="B1602" s="9" t="str">
        <f t="shared" si="50"/>
        <v>50129900</v>
      </c>
      <c r="C1602" s="9" t="str">
        <f>VLOOKUP(B1602,COA!A:B,2,FALSE)</f>
        <v>Labor Scheduled Overtime- Capitalized Credits</v>
      </c>
      <c r="D1602" s="338" t="str">
        <f t="shared" si="49"/>
        <v>C6018</v>
      </c>
      <c r="E1602" s="338" t="s">
        <v>6900</v>
      </c>
      <c r="F1602" s="338" t="s">
        <v>6866</v>
      </c>
      <c r="G1602" s="338" t="s">
        <v>7143</v>
      </c>
      <c r="H1602" s="204" t="s">
        <v>77</v>
      </c>
      <c r="I1602" s="204" t="s">
        <v>7450</v>
      </c>
    </row>
    <row r="1603" spans="1:10" x14ac:dyDescent="0.25">
      <c r="A1603" s="204" t="s">
        <v>1656</v>
      </c>
      <c r="B1603" s="9" t="str">
        <f t="shared" si="50"/>
        <v>50171000</v>
      </c>
      <c r="C1603" s="9" t="str">
        <f>VLOOKUP(B1603,COA!A:B,2,FALSE)</f>
        <v>Annual Incentive Plan</v>
      </c>
      <c r="D1603" s="338" t="str">
        <f t="shared" si="49"/>
        <v>C6018</v>
      </c>
      <c r="E1603" s="338" t="s">
        <v>6900</v>
      </c>
      <c r="F1603" s="338" t="s">
        <v>6866</v>
      </c>
      <c r="G1603" s="338" t="s">
        <v>6878</v>
      </c>
      <c r="H1603" s="204" t="s">
        <v>77</v>
      </c>
      <c r="I1603" s="204" t="s">
        <v>7450</v>
      </c>
    </row>
    <row r="1604" spans="1:10" x14ac:dyDescent="0.25">
      <c r="A1604" s="204" t="s">
        <v>1657</v>
      </c>
      <c r="B1604" s="9" t="str">
        <f t="shared" si="50"/>
        <v>50171100</v>
      </c>
      <c r="C1604" s="9" t="str">
        <f>VLOOKUP(B1604,COA!A:B,2,FALSE)</f>
        <v>Annual Incentive Plan Cap Credits</v>
      </c>
      <c r="D1604" s="338" t="str">
        <f t="shared" si="49"/>
        <v>C6018</v>
      </c>
      <c r="E1604" s="338" t="s">
        <v>6900</v>
      </c>
      <c r="F1604" s="338" t="s">
        <v>6866</v>
      </c>
      <c r="G1604" s="338" t="s">
        <v>6878</v>
      </c>
      <c r="H1604" s="204" t="s">
        <v>77</v>
      </c>
      <c r="I1604" s="204" t="s">
        <v>7450</v>
      </c>
    </row>
    <row r="1605" spans="1:10" x14ac:dyDescent="0.25">
      <c r="A1605" s="204" t="s">
        <v>1658</v>
      </c>
      <c r="B1605" s="9" t="str">
        <f t="shared" si="50"/>
        <v>50171600</v>
      </c>
      <c r="C1605" s="9" t="str">
        <f>VLOOKUP(B1605,COA!A:B,2,FALSE)</f>
        <v>Compensation Exp - Options</v>
      </c>
      <c r="D1605" s="338" t="str">
        <f t="shared" si="49"/>
        <v>C6018</v>
      </c>
      <c r="E1605" s="338" t="s">
        <v>6900</v>
      </c>
      <c r="F1605" s="338" t="s">
        <v>6866</v>
      </c>
      <c r="G1605" s="338" t="s">
        <v>6878</v>
      </c>
      <c r="H1605" s="204" t="s">
        <v>77</v>
      </c>
      <c r="I1605" s="204" t="s">
        <v>7450</v>
      </c>
    </row>
    <row r="1606" spans="1:10" x14ac:dyDescent="0.25">
      <c r="A1606" s="204" t="s">
        <v>1659</v>
      </c>
      <c r="B1606" s="9" t="str">
        <f t="shared" si="50"/>
        <v>50171800</v>
      </c>
      <c r="C1606" s="9" t="str">
        <f>VLOOKUP(B1606,COA!A:B,2,FALSE)</f>
        <v>Compensation Exp - RSU's</v>
      </c>
      <c r="D1606" s="338" t="str">
        <f t="shared" si="49"/>
        <v>C6018</v>
      </c>
      <c r="E1606" s="338" t="s">
        <v>6900</v>
      </c>
      <c r="F1606" s="338" t="s">
        <v>6866</v>
      </c>
      <c r="G1606" s="338" t="s">
        <v>6878</v>
      </c>
      <c r="H1606" s="204" t="s">
        <v>77</v>
      </c>
      <c r="I1606" s="204" t="s">
        <v>7450</v>
      </c>
    </row>
    <row r="1607" spans="1:10" x14ac:dyDescent="0.25">
      <c r="A1607" s="204" t="s">
        <v>1660</v>
      </c>
      <c r="B1607" s="9" t="str">
        <f t="shared" si="50"/>
        <v>50185000</v>
      </c>
      <c r="C1607" s="9" t="str">
        <f>VLOOKUP(B1607,COA!A:B,2,FALSE)</f>
        <v>Severance</v>
      </c>
      <c r="D1607" s="338" t="str">
        <f t="shared" si="49"/>
        <v>C6018</v>
      </c>
      <c r="E1607" s="338" t="s">
        <v>6900</v>
      </c>
      <c r="F1607" s="338" t="s">
        <v>6866</v>
      </c>
      <c r="G1607" s="338" t="s">
        <v>6878</v>
      </c>
      <c r="H1607" s="204" t="s">
        <v>77</v>
      </c>
      <c r="I1607" s="204" t="s">
        <v>7450</v>
      </c>
    </row>
    <row r="1608" spans="1:10" x14ac:dyDescent="0.25">
      <c r="A1608" s="204" t="s">
        <v>1661</v>
      </c>
      <c r="B1608" s="9" t="str">
        <f t="shared" si="50"/>
        <v>50421000</v>
      </c>
      <c r="C1608" s="9" t="str">
        <f>VLOOKUP(B1608,COA!A:B,2,FALSE)</f>
        <v>401k Expense</v>
      </c>
      <c r="D1608" s="338" t="str">
        <f t="shared" si="49"/>
        <v>C6048</v>
      </c>
      <c r="E1608" s="338" t="s">
        <v>6900</v>
      </c>
      <c r="F1608" s="338" t="s">
        <v>6866</v>
      </c>
      <c r="G1608" s="338" t="s">
        <v>6878</v>
      </c>
      <c r="H1608" s="204" t="s">
        <v>77</v>
      </c>
      <c r="I1608" s="204" t="s">
        <v>7459</v>
      </c>
    </row>
    <row r="1609" spans="1:10" x14ac:dyDescent="0.25">
      <c r="A1609" s="204" t="s">
        <v>1662</v>
      </c>
      <c r="B1609" s="9" t="str">
        <f t="shared" si="50"/>
        <v>50421100</v>
      </c>
      <c r="C1609" s="9" t="str">
        <f>VLOOKUP(B1609,COA!A:B,2,FALSE)</f>
        <v>401k Expense Cap Credits</v>
      </c>
      <c r="D1609" s="338" t="str">
        <f t="shared" si="49"/>
        <v>C6048</v>
      </c>
      <c r="E1609" s="338" t="s">
        <v>6900</v>
      </c>
      <c r="F1609" s="338" t="s">
        <v>6866</v>
      </c>
      <c r="G1609" s="338" t="s">
        <v>6878</v>
      </c>
      <c r="H1609" s="204" t="s">
        <v>77</v>
      </c>
      <c r="I1609" s="204" t="s">
        <v>7459</v>
      </c>
    </row>
    <row r="1610" spans="1:10" x14ac:dyDescent="0.25">
      <c r="A1610" s="204" t="s">
        <v>1663</v>
      </c>
      <c r="B1610" s="9" t="str">
        <f t="shared" si="50"/>
        <v>50422000</v>
      </c>
      <c r="C1610" s="9" t="str">
        <f>VLOOKUP(B1610,COA!A:B,2,FALSE)</f>
        <v>Defined Compensation Plan Expense</v>
      </c>
      <c r="D1610" s="338" t="str">
        <f t="shared" si="49"/>
        <v>C6048</v>
      </c>
      <c r="E1610" s="338" t="s">
        <v>6900</v>
      </c>
      <c r="F1610" s="338" t="s">
        <v>6866</v>
      </c>
      <c r="G1610" s="338" t="s">
        <v>6878</v>
      </c>
      <c r="H1610" s="204" t="s">
        <v>77</v>
      </c>
      <c r="I1610" s="204" t="s">
        <v>7459</v>
      </c>
    </row>
    <row r="1611" spans="1:10" x14ac:dyDescent="0.25">
      <c r="A1611" s="204" t="s">
        <v>1664</v>
      </c>
      <c r="B1611" s="9" t="str">
        <f t="shared" si="50"/>
        <v>50422100</v>
      </c>
      <c r="C1611" s="9" t="str">
        <f>VLOOKUP(B1611,COA!A:B,2,FALSE)</f>
        <v>Defined Comp Plan Exp Cap Credits</v>
      </c>
      <c r="D1611" s="338" t="str">
        <f t="shared" ref="D1611:D1674" si="51">+I1611</f>
        <v>C6048</v>
      </c>
      <c r="E1611" s="338" t="s">
        <v>6900</v>
      </c>
      <c r="F1611" s="338" t="s">
        <v>6866</v>
      </c>
      <c r="G1611" s="338" t="s">
        <v>6878</v>
      </c>
      <c r="H1611" s="204" t="s">
        <v>77</v>
      </c>
      <c r="I1611" s="204" t="s">
        <v>7459</v>
      </c>
    </row>
    <row r="1612" spans="1:10" x14ac:dyDescent="0.25">
      <c r="A1612" s="204" t="s">
        <v>1665</v>
      </c>
      <c r="B1612" s="9" t="str">
        <f t="shared" si="50"/>
        <v>50423000</v>
      </c>
      <c r="C1612" s="9" t="str">
        <f>VLOOKUP(B1612,COA!A:B,2,FALSE)</f>
        <v>Employee Stock Purchase Plan Expense</v>
      </c>
      <c r="D1612" s="338" t="str">
        <f t="shared" si="51"/>
        <v>C6048</v>
      </c>
      <c r="E1612" s="338" t="s">
        <v>6900</v>
      </c>
      <c r="F1612" s="338" t="s">
        <v>6866</v>
      </c>
      <c r="G1612" s="338" t="s">
        <v>6878</v>
      </c>
      <c r="H1612" s="204" t="s">
        <v>77</v>
      </c>
      <c r="I1612" s="204" t="s">
        <v>7459</v>
      </c>
    </row>
    <row r="1613" spans="1:10" x14ac:dyDescent="0.25">
      <c r="A1613" s="204" t="s">
        <v>1666</v>
      </c>
      <c r="B1613" s="9" t="str">
        <f t="shared" si="50"/>
        <v>50424000</v>
      </c>
      <c r="C1613" s="9" t="str">
        <f>VLOOKUP(B1613,COA!A:B,2,FALSE)</f>
        <v>DC SERP Expense</v>
      </c>
      <c r="D1613" s="338" t="str">
        <f t="shared" si="51"/>
        <v>C6048</v>
      </c>
      <c r="E1613" s="338" t="s">
        <v>6900</v>
      </c>
      <c r="F1613" s="338" t="s">
        <v>6866</v>
      </c>
      <c r="G1613" s="338" t="s">
        <v>6878</v>
      </c>
      <c r="H1613" s="204" t="s">
        <v>77</v>
      </c>
      <c r="I1613" s="204" t="s">
        <v>7459</v>
      </c>
      <c r="J1613" s="205"/>
    </row>
    <row r="1614" spans="1:10" x14ac:dyDescent="0.25">
      <c r="A1614" s="204" t="s">
        <v>1667</v>
      </c>
      <c r="B1614" s="9" t="str">
        <f t="shared" si="50"/>
        <v>50425000</v>
      </c>
      <c r="C1614" s="9" t="str">
        <f>VLOOKUP(B1614,COA!A:B,2,FALSE)</f>
        <v>401k Restoration Expense</v>
      </c>
      <c r="D1614" s="338" t="str">
        <f t="shared" si="51"/>
        <v>C6048</v>
      </c>
      <c r="E1614" s="338" t="s">
        <v>6900</v>
      </c>
      <c r="F1614" s="338" t="s">
        <v>6866</v>
      </c>
      <c r="G1614" s="338" t="s">
        <v>6878</v>
      </c>
      <c r="H1614" s="204" t="s">
        <v>77</v>
      </c>
      <c r="I1614" s="204" t="s">
        <v>7459</v>
      </c>
    </row>
    <row r="1615" spans="1:10" x14ac:dyDescent="0.25">
      <c r="A1615" s="204" t="s">
        <v>1668</v>
      </c>
      <c r="B1615" s="9" t="str">
        <f t="shared" si="50"/>
        <v>50426000</v>
      </c>
      <c r="C1615" s="9" t="str">
        <f>VLOOKUP(B1615,COA!A:B,2,FALSE)</f>
        <v>Retiree Medical Expense</v>
      </c>
      <c r="D1615" s="338" t="str">
        <f t="shared" si="51"/>
        <v>C6048</v>
      </c>
      <c r="E1615" s="338" t="s">
        <v>6900</v>
      </c>
      <c r="F1615" s="338" t="s">
        <v>6866</v>
      </c>
      <c r="G1615" s="338" t="s">
        <v>6878</v>
      </c>
      <c r="H1615" s="204" t="s">
        <v>77</v>
      </c>
      <c r="I1615" s="204" t="s">
        <v>7459</v>
      </c>
    </row>
    <row r="1616" spans="1:10" x14ac:dyDescent="0.25">
      <c r="A1616" s="204" t="s">
        <v>1669</v>
      </c>
      <c r="B1616" s="9" t="str">
        <f t="shared" si="50"/>
        <v>50426100</v>
      </c>
      <c r="C1616" s="9" t="str">
        <f>VLOOKUP(B1616,COA!A:B,2,FALSE)</f>
        <v>Retiree Medical Expense Cap Credits</v>
      </c>
      <c r="D1616" s="338" t="str">
        <f t="shared" si="51"/>
        <v>C6048</v>
      </c>
      <c r="E1616" s="338" t="s">
        <v>6900</v>
      </c>
      <c r="F1616" s="338" t="s">
        <v>6866</v>
      </c>
      <c r="G1616" s="338" t="s">
        <v>6878</v>
      </c>
      <c r="H1616" s="204" t="s">
        <v>77</v>
      </c>
      <c r="I1616" s="204" t="s">
        <v>7459</v>
      </c>
    </row>
    <row r="1617" spans="1:10" x14ac:dyDescent="0.25">
      <c r="A1617" s="204" t="s">
        <v>1670</v>
      </c>
      <c r="B1617" s="9" t="str">
        <f t="shared" si="50"/>
        <v>50427000</v>
      </c>
      <c r="C1617" s="9" t="str">
        <f>VLOOKUP(B1617,COA!A:B,2,FALSE)</f>
        <v>FAS 112 Amortization</v>
      </c>
      <c r="D1617" s="338" t="str">
        <f t="shared" si="51"/>
        <v>C6048</v>
      </c>
      <c r="E1617" s="338" t="s">
        <v>6900</v>
      </c>
      <c r="F1617" s="338" t="s">
        <v>6866</v>
      </c>
      <c r="G1617" s="338" t="s">
        <v>6878</v>
      </c>
      <c r="H1617" s="204" t="s">
        <v>77</v>
      </c>
      <c r="I1617" s="204" t="s">
        <v>7459</v>
      </c>
    </row>
    <row r="1618" spans="1:10" x14ac:dyDescent="0.25">
      <c r="A1618" s="204" t="s">
        <v>1671</v>
      </c>
      <c r="B1618" s="9" t="str">
        <f t="shared" si="50"/>
        <v>50450000</v>
      </c>
      <c r="C1618" s="9" t="str">
        <f>VLOOKUP(B1618,COA!A:B,2,FALSE)</f>
        <v>Other Welfare - Natural Account</v>
      </c>
      <c r="D1618" s="338" t="str">
        <f t="shared" si="51"/>
        <v>C6048</v>
      </c>
      <c r="E1618" s="338" t="s">
        <v>6900</v>
      </c>
      <c r="F1618" s="338" t="s">
        <v>6866</v>
      </c>
      <c r="G1618" s="338" t="s">
        <v>6878</v>
      </c>
      <c r="H1618" s="204" t="s">
        <v>77</v>
      </c>
      <c r="I1618" s="204" t="s">
        <v>7459</v>
      </c>
    </row>
    <row r="1619" spans="1:10" x14ac:dyDescent="0.25">
      <c r="A1619" s="204" t="s">
        <v>1672</v>
      </c>
      <c r="B1619" s="9" t="str">
        <f t="shared" si="50"/>
        <v>50450011</v>
      </c>
      <c r="C1619" s="9" t="str">
        <f>VLOOKUP(B1619,COA!A:B,2,FALSE)</f>
        <v>Other Welfare - Source of Supply</v>
      </c>
      <c r="D1619" s="338" t="str">
        <f t="shared" si="51"/>
        <v>C6041</v>
      </c>
      <c r="E1619" s="338" t="s">
        <v>6900</v>
      </c>
      <c r="F1619" s="338" t="s">
        <v>23</v>
      </c>
      <c r="G1619" s="338" t="s">
        <v>6878</v>
      </c>
      <c r="H1619" s="204" t="s">
        <v>77</v>
      </c>
      <c r="I1619" s="204" t="s">
        <v>7460</v>
      </c>
    </row>
    <row r="1620" spans="1:10" x14ac:dyDescent="0.25">
      <c r="A1620" s="204" t="s">
        <v>1673</v>
      </c>
      <c r="B1620" s="9" t="str">
        <f t="shared" si="50"/>
        <v>50450012</v>
      </c>
      <c r="C1620" s="9" t="str">
        <f>VLOOKUP(B1620,COA!A:B,2,FALSE)</f>
        <v>Other Welfare - Pumping</v>
      </c>
      <c r="D1620" s="338" t="str">
        <f t="shared" si="51"/>
        <v>C6041</v>
      </c>
      <c r="E1620" s="338" t="s">
        <v>6900</v>
      </c>
      <c r="F1620" s="338" t="s">
        <v>6865</v>
      </c>
      <c r="G1620" s="338" t="s">
        <v>6878</v>
      </c>
      <c r="H1620" s="204" t="s">
        <v>77</v>
      </c>
      <c r="I1620" s="204" t="s">
        <v>7460</v>
      </c>
    </row>
    <row r="1621" spans="1:10" x14ac:dyDescent="0.25">
      <c r="A1621" s="204" t="s">
        <v>1674</v>
      </c>
      <c r="B1621" s="9" t="str">
        <f t="shared" si="50"/>
        <v>50450013</v>
      </c>
      <c r="C1621" s="9" t="str">
        <f>VLOOKUP(B1621,COA!A:B,2,FALSE)</f>
        <v>Other Welfare - Water Treatment</v>
      </c>
      <c r="D1621" s="338" t="str">
        <f t="shared" si="51"/>
        <v>C6043</v>
      </c>
      <c r="E1621" s="338" t="s">
        <v>6900</v>
      </c>
      <c r="F1621" s="338" t="s">
        <v>9</v>
      </c>
      <c r="G1621" s="338" t="s">
        <v>6878</v>
      </c>
      <c r="H1621" s="204" t="s">
        <v>77</v>
      </c>
      <c r="I1621" s="204" t="s">
        <v>7461</v>
      </c>
    </row>
    <row r="1622" spans="1:10" x14ac:dyDescent="0.25">
      <c r="A1622" s="204" t="s">
        <v>1675</v>
      </c>
      <c r="B1622" s="9" t="str">
        <f t="shared" si="50"/>
        <v>50450014</v>
      </c>
      <c r="C1622" s="9" t="str">
        <f>VLOOKUP(B1622,COA!A:B,2,FALSE)</f>
        <v>Other Welfare - Transm &amp; Distrib</v>
      </c>
      <c r="D1622" s="338" t="str">
        <f t="shared" si="51"/>
        <v>C6045</v>
      </c>
      <c r="E1622" s="338" t="s">
        <v>6900</v>
      </c>
      <c r="F1622" s="338" t="s">
        <v>6978</v>
      </c>
      <c r="G1622" s="338" t="s">
        <v>6878</v>
      </c>
      <c r="H1622" s="204" t="s">
        <v>77</v>
      </c>
      <c r="I1622" s="204" t="s">
        <v>7462</v>
      </c>
    </row>
    <row r="1623" spans="1:10" x14ac:dyDescent="0.25">
      <c r="A1623" s="204" t="s">
        <v>1676</v>
      </c>
      <c r="B1623" s="9" t="str">
        <f t="shared" si="50"/>
        <v>50450015</v>
      </c>
      <c r="C1623" s="9" t="str">
        <f>VLOOKUP(B1623,COA!A:B,2,FALSE)</f>
        <v>Other Welfare - Customer Accounting</v>
      </c>
      <c r="D1623" s="338" t="str">
        <f t="shared" si="51"/>
        <v>C6047</v>
      </c>
      <c r="E1623" s="338" t="s">
        <v>6900</v>
      </c>
      <c r="F1623" s="338" t="s">
        <v>6958</v>
      </c>
      <c r="G1623" s="338" t="s">
        <v>6878</v>
      </c>
      <c r="H1623" s="204" t="s">
        <v>77</v>
      </c>
      <c r="I1623" s="204" t="s">
        <v>7463</v>
      </c>
    </row>
    <row r="1624" spans="1:10" x14ac:dyDescent="0.25">
      <c r="A1624" s="204" t="s">
        <v>1677</v>
      </c>
      <c r="B1624" s="9" t="str">
        <f t="shared" si="50"/>
        <v>50450016</v>
      </c>
      <c r="C1624" s="9" t="str">
        <f>VLOOKUP(B1624,COA!A:B,2,FALSE)</f>
        <v>Other Welfare - Admin &amp; General</v>
      </c>
      <c r="D1624" s="338" t="str">
        <f t="shared" si="51"/>
        <v>C6048</v>
      </c>
      <c r="E1624" s="338" t="s">
        <v>6900</v>
      </c>
      <c r="F1624" s="338" t="s">
        <v>6866</v>
      </c>
      <c r="G1624" s="338" t="s">
        <v>6878</v>
      </c>
      <c r="H1624" s="204" t="s">
        <v>77</v>
      </c>
      <c r="I1624" s="204" t="s">
        <v>7459</v>
      </c>
      <c r="J1624" s="205"/>
    </row>
    <row r="1625" spans="1:10" x14ac:dyDescent="0.25">
      <c r="A1625" s="204" t="s">
        <v>1678</v>
      </c>
      <c r="B1625" s="9" t="str">
        <f t="shared" si="50"/>
        <v>50451000</v>
      </c>
      <c r="C1625" s="9" t="str">
        <f>VLOOKUP(B1625,COA!A:B,2,FALSE)</f>
        <v>Employee Awards</v>
      </c>
      <c r="D1625" s="338" t="str">
        <f t="shared" si="51"/>
        <v>C6048</v>
      </c>
      <c r="E1625" s="338" t="s">
        <v>6900</v>
      </c>
      <c r="F1625" s="338" t="s">
        <v>6866</v>
      </c>
      <c r="G1625" s="338" t="s">
        <v>6878</v>
      </c>
      <c r="H1625" s="204" t="s">
        <v>77</v>
      </c>
      <c r="I1625" s="204" t="s">
        <v>7459</v>
      </c>
    </row>
    <row r="1626" spans="1:10" x14ac:dyDescent="0.25">
      <c r="A1626" s="204" t="s">
        <v>1679</v>
      </c>
      <c r="B1626" s="9" t="str">
        <f t="shared" si="50"/>
        <v>50452000</v>
      </c>
      <c r="C1626" s="9" t="str">
        <f>VLOOKUP(B1626,COA!A:B,2,FALSE)</f>
        <v>Employee Physical Exams</v>
      </c>
      <c r="D1626" s="338" t="str">
        <f t="shared" si="51"/>
        <v>C6048</v>
      </c>
      <c r="E1626" s="338" t="s">
        <v>6900</v>
      </c>
      <c r="F1626" s="338" t="s">
        <v>6866</v>
      </c>
      <c r="G1626" s="338" t="s">
        <v>6878</v>
      </c>
      <c r="H1626" s="204" t="s">
        <v>77</v>
      </c>
      <c r="I1626" s="204" t="s">
        <v>7459</v>
      </c>
    </row>
    <row r="1627" spans="1:10" x14ac:dyDescent="0.25">
      <c r="A1627" s="204" t="s">
        <v>1680</v>
      </c>
      <c r="B1627" s="9" t="str">
        <f t="shared" si="50"/>
        <v>50454000</v>
      </c>
      <c r="C1627" s="9" t="str">
        <f>VLOOKUP(B1627,COA!A:B,2,FALSE)</f>
        <v>Safety Incentive Awards</v>
      </c>
      <c r="D1627" s="338" t="str">
        <f t="shared" si="51"/>
        <v>C6048</v>
      </c>
      <c r="E1627" s="338" t="s">
        <v>6900</v>
      </c>
      <c r="F1627" s="338" t="s">
        <v>6866</v>
      </c>
      <c r="G1627" s="338" t="s">
        <v>6878</v>
      </c>
      <c r="H1627" s="204" t="s">
        <v>77</v>
      </c>
      <c r="I1627" s="204" t="s">
        <v>7459</v>
      </c>
    </row>
    <row r="1628" spans="1:10" x14ac:dyDescent="0.25">
      <c r="A1628" s="204" t="s">
        <v>1681</v>
      </c>
      <c r="B1628" s="9" t="str">
        <f t="shared" si="50"/>
        <v>50456000</v>
      </c>
      <c r="C1628" s="9" t="str">
        <f>VLOOKUP(B1628,COA!A:B,2,FALSE)</f>
        <v>Tuition Aid</v>
      </c>
      <c r="D1628" s="338" t="str">
        <f t="shared" si="51"/>
        <v>C6048</v>
      </c>
      <c r="E1628" s="338" t="s">
        <v>6900</v>
      </c>
      <c r="F1628" s="338" t="s">
        <v>6866</v>
      </c>
      <c r="G1628" s="338" t="s">
        <v>6878</v>
      </c>
      <c r="H1628" s="204" t="s">
        <v>77</v>
      </c>
      <c r="I1628" s="204" t="s">
        <v>7459</v>
      </c>
    </row>
    <row r="1629" spans="1:10" x14ac:dyDescent="0.25">
      <c r="A1629" s="204" t="s">
        <v>1682</v>
      </c>
      <c r="B1629" s="9" t="str">
        <f t="shared" si="50"/>
        <v>50457000</v>
      </c>
      <c r="C1629" s="9" t="str">
        <f>VLOOKUP(B1629,COA!A:B,2,FALSE)</f>
        <v>Training</v>
      </c>
      <c r="D1629" s="338" t="str">
        <f t="shared" si="51"/>
        <v>C6048</v>
      </c>
      <c r="E1629" s="338" t="s">
        <v>6900</v>
      </c>
      <c r="F1629" s="338" t="s">
        <v>6866</v>
      </c>
      <c r="G1629" s="338" t="s">
        <v>6878</v>
      </c>
      <c r="H1629" s="204" t="s">
        <v>77</v>
      </c>
      <c r="I1629" s="204" t="s">
        <v>7459</v>
      </c>
    </row>
    <row r="1630" spans="1:10" x14ac:dyDescent="0.25">
      <c r="A1630" s="204" t="s">
        <v>1683</v>
      </c>
      <c r="B1630" s="9" t="str">
        <f t="shared" si="50"/>
        <v>50458000</v>
      </c>
      <c r="C1630" s="9" t="str">
        <f>VLOOKUP(B1630,COA!A:B,2,FALSE)</f>
        <v>Referral Bonus</v>
      </c>
      <c r="D1630" s="338" t="str">
        <f t="shared" si="51"/>
        <v>C6048</v>
      </c>
      <c r="E1630" s="338" t="s">
        <v>6900</v>
      </c>
      <c r="F1630" s="338" t="s">
        <v>6866</v>
      </c>
      <c r="G1630" s="338" t="s">
        <v>6878</v>
      </c>
      <c r="H1630" s="204" t="s">
        <v>77</v>
      </c>
      <c r="I1630" s="204" t="s">
        <v>7459</v>
      </c>
    </row>
    <row r="1631" spans="1:10" x14ac:dyDescent="0.25">
      <c r="A1631" s="204" t="s">
        <v>1684</v>
      </c>
      <c r="B1631" s="9" t="str">
        <f t="shared" si="50"/>
        <v>50510000</v>
      </c>
      <c r="C1631" s="9" t="str">
        <f>VLOOKUP(B1631,COA!A:B,2,FALSE)</f>
        <v>PBOP Expense</v>
      </c>
      <c r="D1631" s="338" t="str">
        <f t="shared" si="51"/>
        <v>C6048</v>
      </c>
      <c r="E1631" s="338" t="s">
        <v>6900</v>
      </c>
      <c r="F1631" s="338" t="s">
        <v>6866</v>
      </c>
      <c r="G1631" s="338" t="s">
        <v>6878</v>
      </c>
      <c r="H1631" s="204" t="s">
        <v>77</v>
      </c>
      <c r="I1631" s="204" t="s">
        <v>7459</v>
      </c>
      <c r="J1631" s="205"/>
    </row>
    <row r="1632" spans="1:10" x14ac:dyDescent="0.25">
      <c r="A1632" s="204" t="s">
        <v>1685</v>
      </c>
      <c r="B1632" s="9" t="str">
        <f t="shared" si="50"/>
        <v>50510100</v>
      </c>
      <c r="C1632" s="9" t="str">
        <f>VLOOKUP(B1632,COA!A:B,2,FALSE)</f>
        <v>PBOP Capitalized Credits</v>
      </c>
      <c r="D1632" s="338" t="str">
        <f t="shared" si="51"/>
        <v>C6048</v>
      </c>
      <c r="E1632" s="338" t="s">
        <v>6900</v>
      </c>
      <c r="F1632" s="338" t="s">
        <v>6866</v>
      </c>
      <c r="G1632" s="338" t="s">
        <v>6878</v>
      </c>
      <c r="H1632" s="204" t="s">
        <v>77</v>
      </c>
      <c r="I1632" s="204" t="s">
        <v>7459</v>
      </c>
    </row>
    <row r="1633" spans="1:9" x14ac:dyDescent="0.25">
      <c r="A1633" s="204" t="s">
        <v>1686</v>
      </c>
      <c r="B1633" s="9" t="str">
        <f t="shared" si="50"/>
        <v>50550000</v>
      </c>
      <c r="C1633" s="9" t="str">
        <f>VLOOKUP(B1633,COA!A:B,2,FALSE)</f>
        <v>Group Insurance Expense</v>
      </c>
      <c r="D1633" s="338" t="str">
        <f t="shared" si="51"/>
        <v>C6048</v>
      </c>
      <c r="E1633" s="338" t="s">
        <v>6900</v>
      </c>
      <c r="F1633" s="338" t="s">
        <v>6866</v>
      </c>
      <c r="G1633" s="338" t="s">
        <v>6878</v>
      </c>
      <c r="H1633" s="204" t="s">
        <v>77</v>
      </c>
      <c r="I1633" s="204" t="s">
        <v>7459</v>
      </c>
    </row>
    <row r="1634" spans="1:9" x14ac:dyDescent="0.25">
      <c r="A1634" s="204" t="s">
        <v>1687</v>
      </c>
      <c r="B1634" s="9" t="str">
        <f t="shared" si="50"/>
        <v>50550100</v>
      </c>
      <c r="C1634" s="9" t="str">
        <f>VLOOKUP(B1634,COA!A:B,2,FALSE)</f>
        <v>Group Insurance Capitalized Credits</v>
      </c>
      <c r="D1634" s="338" t="str">
        <f t="shared" si="51"/>
        <v>C6048</v>
      </c>
      <c r="E1634" s="338" t="s">
        <v>6900</v>
      </c>
      <c r="F1634" s="338" t="s">
        <v>6866</v>
      </c>
      <c r="G1634" s="338" t="s">
        <v>6878</v>
      </c>
      <c r="H1634" s="204" t="s">
        <v>77</v>
      </c>
      <c r="I1634" s="204" t="s">
        <v>7459</v>
      </c>
    </row>
    <row r="1635" spans="1:9" x14ac:dyDescent="0.25">
      <c r="A1635" s="204" t="s">
        <v>1688</v>
      </c>
      <c r="B1635" s="9" t="str">
        <f t="shared" si="50"/>
        <v>50560000</v>
      </c>
      <c r="C1635" s="9" t="str">
        <f>VLOOKUP(B1635,COA!A:B,2,FALSE)</f>
        <v>Health Savings Account Expense</v>
      </c>
      <c r="D1635" s="338" t="str">
        <f t="shared" si="51"/>
        <v>C6048</v>
      </c>
      <c r="E1635" s="338" t="s">
        <v>6900</v>
      </c>
      <c r="F1635" s="338" t="s">
        <v>6866</v>
      </c>
      <c r="G1635" s="338" t="s">
        <v>6878</v>
      </c>
      <c r="H1635" s="204" t="s">
        <v>77</v>
      </c>
      <c r="I1635" s="204" t="s">
        <v>7459</v>
      </c>
    </row>
    <row r="1636" spans="1:9" x14ac:dyDescent="0.25">
      <c r="A1636" s="204" t="s">
        <v>1689</v>
      </c>
      <c r="B1636" s="9" t="str">
        <f t="shared" si="50"/>
        <v>50610000</v>
      </c>
      <c r="C1636" s="9" t="str">
        <f>VLOOKUP(B1636,COA!A:B,2,FALSE)</f>
        <v>Pension Expense</v>
      </c>
      <c r="D1636" s="338" t="str">
        <f t="shared" si="51"/>
        <v>C6048</v>
      </c>
      <c r="E1636" s="338" t="s">
        <v>6900</v>
      </c>
      <c r="F1636" s="338" t="s">
        <v>6866</v>
      </c>
      <c r="G1636" s="338" t="s">
        <v>6878</v>
      </c>
      <c r="H1636" s="204" t="s">
        <v>77</v>
      </c>
      <c r="I1636" s="204" t="s">
        <v>7459</v>
      </c>
    </row>
    <row r="1637" spans="1:9" x14ac:dyDescent="0.25">
      <c r="A1637" s="204" t="s">
        <v>1690</v>
      </c>
      <c r="B1637" s="9" t="str">
        <f t="shared" si="50"/>
        <v>50610100</v>
      </c>
      <c r="C1637" s="9" t="str">
        <f>VLOOKUP(B1637,COA!A:B,2,FALSE)</f>
        <v>Pension Capitalized Credits</v>
      </c>
      <c r="D1637" s="338" t="str">
        <f t="shared" si="51"/>
        <v>C6048</v>
      </c>
      <c r="E1637" s="338" t="s">
        <v>6900</v>
      </c>
      <c r="F1637" s="338" t="s">
        <v>6866</v>
      </c>
      <c r="G1637" s="338" t="s">
        <v>6878</v>
      </c>
      <c r="H1637" s="204" t="s">
        <v>77</v>
      </c>
      <c r="I1637" s="204" t="s">
        <v>7459</v>
      </c>
    </row>
    <row r="1638" spans="1:9" x14ac:dyDescent="0.25">
      <c r="A1638" s="204" t="s">
        <v>1691</v>
      </c>
      <c r="B1638" s="9" t="str">
        <f t="shared" si="50"/>
        <v>50620000</v>
      </c>
      <c r="C1638" s="9" t="str">
        <f>VLOOKUP(B1638,COA!A:B,2,FALSE)</f>
        <v>Pension Expense - SRP</v>
      </c>
      <c r="D1638" s="338" t="str">
        <f t="shared" si="51"/>
        <v>C6048</v>
      </c>
      <c r="E1638" s="338" t="s">
        <v>6900</v>
      </c>
      <c r="F1638" s="338" t="s">
        <v>6866</v>
      </c>
      <c r="G1638" s="338" t="s">
        <v>6878</v>
      </c>
      <c r="H1638" s="204" t="s">
        <v>77</v>
      </c>
      <c r="I1638" s="204" t="s">
        <v>7459</v>
      </c>
    </row>
    <row r="1639" spans="1:9" x14ac:dyDescent="0.25">
      <c r="A1639" s="204" t="s">
        <v>1692</v>
      </c>
      <c r="B1639" s="9" t="str">
        <f t="shared" si="50"/>
        <v>50630000</v>
      </c>
      <c r="C1639" s="9" t="str">
        <f>VLOOKUP(B1639,COA!A:B,2,FALSE)</f>
        <v>Pension Expense - SERP</v>
      </c>
      <c r="D1639" s="338" t="str">
        <f t="shared" si="51"/>
        <v>C6048</v>
      </c>
      <c r="E1639" s="338" t="s">
        <v>6900</v>
      </c>
      <c r="F1639" s="338" t="s">
        <v>6866</v>
      </c>
      <c r="G1639" s="338" t="s">
        <v>6878</v>
      </c>
      <c r="H1639" s="204" t="s">
        <v>77</v>
      </c>
      <c r="I1639" s="204" t="s">
        <v>7459</v>
      </c>
    </row>
    <row r="1640" spans="1:9" x14ac:dyDescent="0.25">
      <c r="A1640" s="204" t="s">
        <v>1693</v>
      </c>
      <c r="B1640" s="9" t="str">
        <f t="shared" si="50"/>
        <v>51010000</v>
      </c>
      <c r="C1640" s="9" t="str">
        <f>VLOOKUP(B1640,COA!A:B,2,FALSE)</f>
        <v>Purchased Water</v>
      </c>
      <c r="D1640" s="338" t="str">
        <f t="shared" si="51"/>
        <v>C6101</v>
      </c>
      <c r="E1640" s="338" t="s">
        <v>6900</v>
      </c>
      <c r="F1640" s="338" t="s">
        <v>23</v>
      </c>
      <c r="G1640" s="338" t="s">
        <v>3</v>
      </c>
      <c r="H1640" s="204" t="s">
        <v>77</v>
      </c>
      <c r="I1640" s="204" t="s">
        <v>7464</v>
      </c>
    </row>
    <row r="1641" spans="1:9" x14ac:dyDescent="0.25">
      <c r="A1641" s="204" t="s">
        <v>1694</v>
      </c>
      <c r="B1641" s="9" t="str">
        <f t="shared" si="50"/>
        <v>51010500</v>
      </c>
      <c r="C1641" s="9" t="str">
        <f>VLOOKUP(B1641,COA!A:B,2,FALSE)</f>
        <v>PWAC Differential</v>
      </c>
      <c r="D1641" s="338" t="str">
        <f t="shared" si="51"/>
        <v>C6758</v>
      </c>
      <c r="E1641" s="338" t="s">
        <v>6900</v>
      </c>
      <c r="F1641" s="338" t="s">
        <v>23</v>
      </c>
      <c r="G1641" s="338" t="s">
        <v>3</v>
      </c>
      <c r="H1641" s="204" t="s">
        <v>77</v>
      </c>
      <c r="I1641" s="204" t="s">
        <v>7465</v>
      </c>
    </row>
    <row r="1642" spans="1:9" x14ac:dyDescent="0.25">
      <c r="A1642" s="204" t="s">
        <v>1695</v>
      </c>
      <c r="B1642" s="9" t="str">
        <f t="shared" si="50"/>
        <v>51015000</v>
      </c>
      <c r="C1642" s="9" t="str">
        <f>VLOOKUP(B1642,COA!A:B,2,FALSE)</f>
        <v>Purchased Water Interco</v>
      </c>
      <c r="D1642" s="338" t="str">
        <f t="shared" si="51"/>
        <v>C6101</v>
      </c>
      <c r="E1642" s="338" t="s">
        <v>6900</v>
      </c>
      <c r="F1642" s="338" t="s">
        <v>23</v>
      </c>
      <c r="G1642" s="338" t="s">
        <v>3</v>
      </c>
      <c r="H1642" s="204" t="s">
        <v>77</v>
      </c>
      <c r="I1642" s="204" t="s">
        <v>7464</v>
      </c>
    </row>
    <row r="1643" spans="1:9" x14ac:dyDescent="0.25">
      <c r="A1643" s="204" t="s">
        <v>1696</v>
      </c>
      <c r="B1643" s="9" t="str">
        <f t="shared" si="50"/>
        <v>51020000</v>
      </c>
      <c r="C1643" s="9" t="str">
        <f>VLOOKUP(B1643,COA!A:B,2,FALSE)</f>
        <v>Diversion Rights</v>
      </c>
      <c r="D1643" s="338" t="str">
        <f t="shared" si="51"/>
        <v>C6101</v>
      </c>
      <c r="E1643" s="338" t="s">
        <v>6900</v>
      </c>
      <c r="F1643" s="338" t="s">
        <v>23</v>
      </c>
      <c r="G1643" s="338" t="s">
        <v>3</v>
      </c>
      <c r="H1643" s="204" t="s">
        <v>77</v>
      </c>
      <c r="I1643" s="204" t="s">
        <v>7464</v>
      </c>
    </row>
    <row r="1644" spans="1:9" x14ac:dyDescent="0.25">
      <c r="A1644" s="204" t="s">
        <v>1697</v>
      </c>
      <c r="B1644" s="9" t="str">
        <f t="shared" si="50"/>
        <v>51110000</v>
      </c>
      <c r="C1644" s="9" t="str">
        <f>VLOOKUP(B1644,COA!A:B,2,FALSE)</f>
        <v>Waste Disposal</v>
      </c>
      <c r="D1644" s="338" t="str">
        <f t="shared" si="51"/>
        <v>C6753</v>
      </c>
      <c r="E1644" s="338" t="s">
        <v>6900</v>
      </c>
      <c r="F1644" s="338" t="s">
        <v>9</v>
      </c>
      <c r="G1644" s="338" t="s">
        <v>11</v>
      </c>
      <c r="H1644" s="204" t="s">
        <v>77</v>
      </c>
      <c r="I1644" s="204" t="s">
        <v>7466</v>
      </c>
    </row>
    <row r="1645" spans="1:9" x14ac:dyDescent="0.25">
      <c r="A1645" s="204" t="s">
        <v>1698</v>
      </c>
      <c r="B1645" s="9" t="str">
        <f t="shared" si="50"/>
        <v>51110500</v>
      </c>
      <c r="C1645" s="9" t="str">
        <f>VLOOKUP(B1645,COA!A:B,2,FALSE)</f>
        <v>PSTAC Differential</v>
      </c>
      <c r="D1645" s="338" t="str">
        <f t="shared" si="51"/>
        <v>C6758</v>
      </c>
      <c r="E1645" s="338" t="s">
        <v>6900</v>
      </c>
      <c r="F1645" s="338" t="s">
        <v>9</v>
      </c>
      <c r="G1645" s="338" t="s">
        <v>11</v>
      </c>
      <c r="H1645" s="204" t="s">
        <v>77</v>
      </c>
      <c r="I1645" s="204" t="s">
        <v>7465</v>
      </c>
    </row>
    <row r="1646" spans="1:9" x14ac:dyDescent="0.25">
      <c r="A1646" s="204" t="s">
        <v>1699</v>
      </c>
      <c r="B1646" s="9" t="str">
        <f t="shared" ref="B1646:B1709" si="52">RIGHT(A1646,8)</f>
        <v>51110600</v>
      </c>
      <c r="C1646" s="9" t="str">
        <f>VLOOKUP(B1646,COA!A:B,2,FALSE)</f>
        <v>PSTAC Amortization</v>
      </c>
      <c r="D1646" s="338" t="str">
        <f t="shared" si="51"/>
        <v>C6758</v>
      </c>
      <c r="E1646" s="338" t="s">
        <v>6900</v>
      </c>
      <c r="F1646" s="338" t="s">
        <v>9</v>
      </c>
      <c r="G1646" s="338" t="s">
        <v>11</v>
      </c>
      <c r="H1646" s="204" t="s">
        <v>77</v>
      </c>
      <c r="I1646" s="204" t="s">
        <v>7465</v>
      </c>
    </row>
    <row r="1647" spans="1:9" x14ac:dyDescent="0.25">
      <c r="A1647" s="204" t="s">
        <v>1700</v>
      </c>
      <c r="B1647" s="9" t="str">
        <f t="shared" si="52"/>
        <v>51115000</v>
      </c>
      <c r="C1647" s="9" t="str">
        <f>VLOOKUP(B1647,COA!A:B,2,FALSE)</f>
        <v>Waste Disposal Interco</v>
      </c>
      <c r="D1647" s="338" t="str">
        <f t="shared" si="51"/>
        <v>C6753</v>
      </c>
      <c r="E1647" s="338" t="s">
        <v>6900</v>
      </c>
      <c r="F1647" s="338" t="s">
        <v>9</v>
      </c>
      <c r="G1647" s="338" t="s">
        <v>11</v>
      </c>
      <c r="H1647" s="204" t="s">
        <v>77</v>
      </c>
      <c r="I1647" s="204" t="s">
        <v>7466</v>
      </c>
    </row>
    <row r="1648" spans="1:9" x14ac:dyDescent="0.25">
      <c r="A1648" s="204" t="s">
        <v>1701</v>
      </c>
      <c r="B1648" s="9" t="str">
        <f t="shared" si="52"/>
        <v>51120000</v>
      </c>
      <c r="C1648" s="9" t="str">
        <f>VLOOKUP(B1648,COA!A:B,2,FALSE)</f>
        <v>Amort Waste Disposal</v>
      </c>
      <c r="D1648" s="338" t="str">
        <f t="shared" si="51"/>
        <v>C6753</v>
      </c>
      <c r="E1648" s="338" t="s">
        <v>6900</v>
      </c>
      <c r="F1648" s="338" t="s">
        <v>9</v>
      </c>
      <c r="G1648" s="338" t="s">
        <v>11</v>
      </c>
      <c r="H1648" s="204" t="s">
        <v>77</v>
      </c>
      <c r="I1648" s="204" t="s">
        <v>7466</v>
      </c>
    </row>
    <row r="1649" spans="1:9" x14ac:dyDescent="0.25">
      <c r="A1649" s="204" t="s">
        <v>1702</v>
      </c>
      <c r="B1649" s="9" t="str">
        <f t="shared" si="52"/>
        <v>51510000</v>
      </c>
      <c r="C1649" s="9" t="str">
        <f>VLOOKUP(B1649,COA!A:B,2,FALSE)</f>
        <v>Purchased Power - Natural Account</v>
      </c>
      <c r="D1649" s="338" t="str">
        <f t="shared" si="51"/>
        <v>C6158</v>
      </c>
      <c r="E1649" s="338" t="s">
        <v>6900</v>
      </c>
      <c r="F1649" s="338" t="s">
        <v>23</v>
      </c>
      <c r="G1649" s="338" t="s">
        <v>7142</v>
      </c>
      <c r="H1649" s="204" t="s">
        <v>77</v>
      </c>
      <c r="I1649" s="204" t="s">
        <v>7467</v>
      </c>
    </row>
    <row r="1650" spans="1:9" x14ac:dyDescent="0.25">
      <c r="A1650" s="204" t="s">
        <v>1703</v>
      </c>
      <c r="B1650" s="9" t="str">
        <f t="shared" si="52"/>
        <v>51510011</v>
      </c>
      <c r="C1650" s="9" t="str">
        <f>VLOOKUP(B1650,COA!A:B,2,FALSE)</f>
        <v>Purchased Power - Source of Supply</v>
      </c>
      <c r="D1650" s="338" t="str">
        <f t="shared" si="51"/>
        <v>C6151</v>
      </c>
      <c r="E1650" s="338" t="s">
        <v>6900</v>
      </c>
      <c r="F1650" s="338" t="s">
        <v>23</v>
      </c>
      <c r="G1650" s="338" t="s">
        <v>7142</v>
      </c>
      <c r="H1650" s="204" t="s">
        <v>77</v>
      </c>
      <c r="I1650" s="204" t="s">
        <v>7468</v>
      </c>
    </row>
    <row r="1651" spans="1:9" x14ac:dyDescent="0.25">
      <c r="A1651" s="204" t="s">
        <v>1704</v>
      </c>
      <c r="B1651" s="9" t="str">
        <f t="shared" si="52"/>
        <v>51510012</v>
      </c>
      <c r="C1651" s="9" t="str">
        <f>VLOOKUP(B1651,COA!A:B,2,FALSE)</f>
        <v>Purchased Power - Pumping</v>
      </c>
      <c r="D1651" s="338" t="str">
        <f t="shared" si="51"/>
        <v>C6151</v>
      </c>
      <c r="E1651" s="338" t="s">
        <v>6900</v>
      </c>
      <c r="F1651" s="338" t="s">
        <v>6865</v>
      </c>
      <c r="G1651" s="338" t="s">
        <v>7142</v>
      </c>
      <c r="H1651" s="204" t="s">
        <v>77</v>
      </c>
      <c r="I1651" s="204" t="s">
        <v>7468</v>
      </c>
    </row>
    <row r="1652" spans="1:9" x14ac:dyDescent="0.25">
      <c r="A1652" s="204" t="s">
        <v>1705</v>
      </c>
      <c r="B1652" s="9" t="str">
        <f t="shared" si="52"/>
        <v>51510013</v>
      </c>
      <c r="C1652" s="9" t="str">
        <f>VLOOKUP(B1652,COA!A:B,2,FALSE)</f>
        <v>Purchased Power - Water Treatment</v>
      </c>
      <c r="D1652" s="338" t="str">
        <f t="shared" si="51"/>
        <v>C6153</v>
      </c>
      <c r="E1652" s="338" t="s">
        <v>6900</v>
      </c>
      <c r="F1652" s="338" t="s">
        <v>9</v>
      </c>
      <c r="G1652" s="338" t="s">
        <v>7142</v>
      </c>
      <c r="H1652" s="204" t="s">
        <v>77</v>
      </c>
      <c r="I1652" s="204" t="s">
        <v>7469</v>
      </c>
    </row>
    <row r="1653" spans="1:9" x14ac:dyDescent="0.25">
      <c r="A1653" s="204" t="s">
        <v>1706</v>
      </c>
      <c r="B1653" s="9" t="str">
        <f t="shared" si="52"/>
        <v>51510014</v>
      </c>
      <c r="C1653" s="9" t="str">
        <f>VLOOKUP(B1653,COA!A:B,2,FALSE)</f>
        <v>Purchased Power - Transmission &amp; Distribution</v>
      </c>
      <c r="D1653" s="338" t="str">
        <f t="shared" si="51"/>
        <v>C6155</v>
      </c>
      <c r="E1653" s="338" t="s">
        <v>6900</v>
      </c>
      <c r="F1653" s="338" t="s">
        <v>6978</v>
      </c>
      <c r="G1653" s="338" t="s">
        <v>7142</v>
      </c>
      <c r="H1653" s="204" t="s">
        <v>77</v>
      </c>
      <c r="I1653" s="204" t="s">
        <v>7470</v>
      </c>
    </row>
    <row r="1654" spans="1:9" x14ac:dyDescent="0.25">
      <c r="A1654" s="204" t="s">
        <v>1707</v>
      </c>
      <c r="B1654" s="9" t="str">
        <f t="shared" si="52"/>
        <v>51510015</v>
      </c>
      <c r="C1654" s="9" t="str">
        <f>VLOOKUP(B1654,COA!A:B,2,FALSE)</f>
        <v>Purchased Power - Customer Accounting</v>
      </c>
      <c r="D1654" s="338" t="str">
        <f t="shared" si="51"/>
        <v>C6157</v>
      </c>
      <c r="E1654" s="338" t="s">
        <v>6900</v>
      </c>
      <c r="F1654" s="338" t="s">
        <v>6958</v>
      </c>
      <c r="G1654" s="338" t="s">
        <v>7142</v>
      </c>
      <c r="H1654" s="204" t="s">
        <v>77</v>
      </c>
      <c r="I1654" s="204" t="s">
        <v>7471</v>
      </c>
    </row>
    <row r="1655" spans="1:9" x14ac:dyDescent="0.25">
      <c r="A1655" s="204" t="s">
        <v>1708</v>
      </c>
      <c r="B1655" s="9" t="str">
        <f t="shared" si="52"/>
        <v>51510016</v>
      </c>
      <c r="C1655" s="9" t="str">
        <f>VLOOKUP(B1655,COA!A:B,2,FALSE)</f>
        <v>Purchased Power - Admin &amp; General</v>
      </c>
      <c r="D1655" s="338" t="str">
        <f t="shared" si="51"/>
        <v>C6158</v>
      </c>
      <c r="E1655" s="338" t="s">
        <v>6900</v>
      </c>
      <c r="F1655" s="338" t="s">
        <v>6866</v>
      </c>
      <c r="G1655" s="338" t="s">
        <v>7142</v>
      </c>
      <c r="H1655" s="204" t="s">
        <v>77</v>
      </c>
      <c r="I1655" s="204" t="s">
        <v>7467</v>
      </c>
    </row>
    <row r="1656" spans="1:9" x14ac:dyDescent="0.25">
      <c r="A1656" s="204" t="s">
        <v>1709</v>
      </c>
      <c r="B1656" s="9" t="str">
        <f t="shared" si="52"/>
        <v>51510500</v>
      </c>
      <c r="C1656" s="9" t="str">
        <f>VLOOKUP(B1656,COA!A:B,2,FALSE)</f>
        <v>Purchased Power Balancing Account</v>
      </c>
      <c r="D1656" s="338" t="str">
        <f t="shared" si="51"/>
        <v>C6151</v>
      </c>
      <c r="E1656" s="338" t="s">
        <v>6900</v>
      </c>
      <c r="F1656" s="338" t="s">
        <v>23</v>
      </c>
      <c r="G1656" s="338" t="s">
        <v>7142</v>
      </c>
      <c r="H1656" s="204" t="s">
        <v>77</v>
      </c>
      <c r="I1656" s="204" t="s">
        <v>7468</v>
      </c>
    </row>
    <row r="1657" spans="1:9" x14ac:dyDescent="0.25">
      <c r="A1657" s="204" t="s">
        <v>1710</v>
      </c>
      <c r="B1657" s="9" t="str">
        <f t="shared" si="52"/>
        <v>51520000</v>
      </c>
      <c r="C1657" s="9" t="str">
        <f>VLOOKUP(B1657,COA!A:B,2,FALSE)</f>
        <v>Fuel for Power Production</v>
      </c>
      <c r="D1657" s="338" t="str">
        <f t="shared" si="51"/>
        <v>C6161</v>
      </c>
      <c r="E1657" s="338" t="s">
        <v>6900</v>
      </c>
      <c r="F1657" s="338" t="s">
        <v>23</v>
      </c>
      <c r="G1657" s="338" t="s">
        <v>7142</v>
      </c>
      <c r="H1657" s="204" t="s">
        <v>77</v>
      </c>
      <c r="I1657" s="204" t="s">
        <v>7472</v>
      </c>
    </row>
    <row r="1658" spans="1:9" x14ac:dyDescent="0.25">
      <c r="A1658" s="204" t="s">
        <v>1711</v>
      </c>
      <c r="B1658" s="9" t="str">
        <f t="shared" si="52"/>
        <v>51800000</v>
      </c>
      <c r="C1658" s="9" t="str">
        <f>VLOOKUP(B1658,COA!A:B,2,FALSE)</f>
        <v>Chemicals</v>
      </c>
      <c r="D1658" s="338" t="str">
        <f t="shared" si="51"/>
        <v>C6183</v>
      </c>
      <c r="E1658" s="338" t="s">
        <v>6900</v>
      </c>
      <c r="F1658" s="338" t="s">
        <v>9</v>
      </c>
      <c r="G1658" s="338" t="s">
        <v>12</v>
      </c>
      <c r="H1658" s="204" t="s">
        <v>77</v>
      </c>
      <c r="I1658" s="204" t="s">
        <v>7473</v>
      </c>
    </row>
    <row r="1659" spans="1:9" x14ac:dyDescent="0.25">
      <c r="A1659" s="204" t="s">
        <v>1712</v>
      </c>
      <c r="B1659" s="9" t="str">
        <f t="shared" si="52"/>
        <v>51850000</v>
      </c>
      <c r="C1659" s="9" t="str">
        <f>VLOOKUP(B1659,COA!A:B,2,FALSE)</f>
        <v>Chemicals Carbon Interco</v>
      </c>
      <c r="D1659" s="338" t="str">
        <f t="shared" si="51"/>
        <v>C6183</v>
      </c>
      <c r="E1659" s="338" t="s">
        <v>6900</v>
      </c>
      <c r="F1659" s="338" t="s">
        <v>9</v>
      </c>
      <c r="G1659" s="338" t="s">
        <v>12</v>
      </c>
      <c r="H1659" s="204" t="s">
        <v>77</v>
      </c>
      <c r="I1659" s="204" t="s">
        <v>7473</v>
      </c>
    </row>
    <row r="1660" spans="1:9" x14ac:dyDescent="0.25">
      <c r="A1660" s="204" t="s">
        <v>1713</v>
      </c>
      <c r="B1660" s="9" t="str">
        <f t="shared" si="52"/>
        <v>52000000</v>
      </c>
      <c r="C1660" s="9" t="str">
        <f>VLOOKUP(B1660,COA!A:B,2,FALSE)</f>
        <v>M &amp; S  (O&amp;M) - Natural Account</v>
      </c>
      <c r="D1660" s="338" t="str">
        <f t="shared" si="51"/>
        <v>C6205</v>
      </c>
      <c r="E1660" s="338" t="s">
        <v>6900</v>
      </c>
      <c r="F1660" s="338" t="s">
        <v>23</v>
      </c>
      <c r="G1660" s="338" t="s">
        <v>10</v>
      </c>
      <c r="H1660" s="204" t="s">
        <v>77</v>
      </c>
      <c r="I1660" s="204" t="s">
        <v>7474</v>
      </c>
    </row>
    <row r="1661" spans="1:9" x14ac:dyDescent="0.25">
      <c r="A1661" s="204" t="s">
        <v>1714</v>
      </c>
      <c r="B1661" s="9" t="str">
        <f t="shared" si="52"/>
        <v>52001100</v>
      </c>
      <c r="C1661" s="9" t="str">
        <f>VLOOKUP(B1661,COA!A:B,2,FALSE)</f>
        <v>M &amp; S Oper - Source of Supply</v>
      </c>
      <c r="D1661" s="338" t="str">
        <f t="shared" si="51"/>
        <v>C6201</v>
      </c>
      <c r="E1661" s="338" t="s">
        <v>6900</v>
      </c>
      <c r="F1661" s="338" t="s">
        <v>23</v>
      </c>
      <c r="G1661" s="338" t="s">
        <v>10</v>
      </c>
      <c r="H1661" s="204" t="s">
        <v>77</v>
      </c>
      <c r="I1661" s="204" t="s">
        <v>7475</v>
      </c>
    </row>
    <row r="1662" spans="1:9" x14ac:dyDescent="0.25">
      <c r="A1662" s="204" t="s">
        <v>1715</v>
      </c>
      <c r="B1662" s="9" t="str">
        <f t="shared" si="52"/>
        <v>52001200</v>
      </c>
      <c r="C1662" s="9" t="str">
        <f>VLOOKUP(B1662,COA!A:B,2,FALSE)</f>
        <v>M &amp; S Oper - Pumping</v>
      </c>
      <c r="D1662" s="338" t="str">
        <f t="shared" si="51"/>
        <v>C6201</v>
      </c>
      <c r="E1662" s="338" t="s">
        <v>6900</v>
      </c>
      <c r="F1662" s="338" t="s">
        <v>6865</v>
      </c>
      <c r="G1662" s="338" t="s">
        <v>10</v>
      </c>
      <c r="H1662" s="204" t="s">
        <v>77</v>
      </c>
      <c r="I1662" s="204" t="s">
        <v>7475</v>
      </c>
    </row>
    <row r="1663" spans="1:9" x14ac:dyDescent="0.25">
      <c r="A1663" s="204" t="s">
        <v>1716</v>
      </c>
      <c r="B1663" s="9" t="str">
        <f t="shared" si="52"/>
        <v>52001300</v>
      </c>
      <c r="C1663" s="9" t="str">
        <f>VLOOKUP(B1663,COA!A:B,2,FALSE)</f>
        <v>M &amp; S Oper - Water Treatment</v>
      </c>
      <c r="D1663" s="338" t="str">
        <f t="shared" si="51"/>
        <v>C6203</v>
      </c>
      <c r="E1663" s="338" t="s">
        <v>6900</v>
      </c>
      <c r="F1663" s="338" t="s">
        <v>9</v>
      </c>
      <c r="G1663" s="338" t="s">
        <v>10</v>
      </c>
      <c r="H1663" s="204" t="s">
        <v>77</v>
      </c>
      <c r="I1663" s="204" t="s">
        <v>7476</v>
      </c>
    </row>
    <row r="1664" spans="1:9" x14ac:dyDescent="0.25">
      <c r="A1664" s="204" t="s">
        <v>1717</v>
      </c>
      <c r="B1664" s="9" t="str">
        <f t="shared" si="52"/>
        <v>52001400</v>
      </c>
      <c r="C1664" s="9" t="str">
        <f>VLOOKUP(B1664,COA!A:B,2,FALSE)</f>
        <v>M &amp; S Oper - Transmission &amp; Distribution</v>
      </c>
      <c r="D1664" s="338" t="str">
        <f t="shared" si="51"/>
        <v>C6205</v>
      </c>
      <c r="E1664" s="338" t="s">
        <v>6900</v>
      </c>
      <c r="F1664" s="338" t="s">
        <v>6978</v>
      </c>
      <c r="G1664" s="338" t="s">
        <v>10</v>
      </c>
      <c r="H1664" s="204" t="s">
        <v>77</v>
      </c>
      <c r="I1664" s="204" t="s">
        <v>7474</v>
      </c>
    </row>
    <row r="1665" spans="1:10" x14ac:dyDescent="0.25">
      <c r="A1665" s="204" t="s">
        <v>1718</v>
      </c>
      <c r="B1665" s="9" t="str">
        <f t="shared" si="52"/>
        <v>52001500</v>
      </c>
      <c r="C1665" s="9" t="str">
        <f>VLOOKUP(B1665,COA!A:B,2,FALSE)</f>
        <v>M &amp; S Oper - Customer Accounting</v>
      </c>
      <c r="D1665" s="338" t="str">
        <f t="shared" si="51"/>
        <v>C6207</v>
      </c>
      <c r="E1665" s="338" t="s">
        <v>6900</v>
      </c>
      <c r="F1665" s="338" t="s">
        <v>6958</v>
      </c>
      <c r="G1665" s="338" t="s">
        <v>10</v>
      </c>
      <c r="H1665" s="204" t="s">
        <v>77</v>
      </c>
      <c r="I1665" s="204" t="s">
        <v>7477</v>
      </c>
    </row>
    <row r="1666" spans="1:10" x14ac:dyDescent="0.25">
      <c r="A1666" s="204" t="s">
        <v>1719</v>
      </c>
      <c r="B1666" s="9" t="str">
        <f t="shared" si="52"/>
        <v>52001600</v>
      </c>
      <c r="C1666" s="9" t="str">
        <f>VLOOKUP(B1666,COA!A:B,2,FALSE)</f>
        <v>M &amp; S Oper - Admin &amp; General</v>
      </c>
      <c r="D1666" s="338" t="str">
        <f t="shared" si="51"/>
        <v>C6208</v>
      </c>
      <c r="E1666" s="338" t="s">
        <v>6900</v>
      </c>
      <c r="F1666" s="338" t="s">
        <v>6866</v>
      </c>
      <c r="G1666" s="338" t="s">
        <v>10</v>
      </c>
      <c r="H1666" s="204" t="s">
        <v>77</v>
      </c>
      <c r="I1666" s="204" t="s">
        <v>7478</v>
      </c>
    </row>
    <row r="1667" spans="1:10" x14ac:dyDescent="0.25">
      <c r="A1667" s="204" t="s">
        <v>1720</v>
      </c>
      <c r="B1667" s="9" t="str">
        <f t="shared" si="52"/>
        <v>52500000</v>
      </c>
      <c r="C1667" s="9" t="str">
        <f>VLOOKUP(B1667,COA!A:B,2,FALSE)</f>
        <v>Misc Exp (O&amp;M) - Natural Acct</v>
      </c>
      <c r="D1667" s="338" t="str">
        <f t="shared" si="51"/>
        <v>C6758</v>
      </c>
      <c r="E1667" s="338" t="s">
        <v>6900</v>
      </c>
      <c r="F1667" s="338" t="s">
        <v>23</v>
      </c>
      <c r="G1667" s="338" t="s">
        <v>7</v>
      </c>
      <c r="H1667" s="204" t="s">
        <v>77</v>
      </c>
      <c r="I1667" s="204" t="s">
        <v>7465</v>
      </c>
    </row>
    <row r="1668" spans="1:10" x14ac:dyDescent="0.25">
      <c r="A1668" s="204" t="s">
        <v>1721</v>
      </c>
      <c r="B1668" s="9" t="str">
        <f t="shared" si="52"/>
        <v>52501100</v>
      </c>
      <c r="C1668" s="9" t="str">
        <f>VLOOKUP(B1668,COA!A:B,2,FALSE)</f>
        <v>Misc Oper - Source of Supply</v>
      </c>
      <c r="D1668" s="338" t="str">
        <f t="shared" si="51"/>
        <v>C6751</v>
      </c>
      <c r="E1668" s="338" t="s">
        <v>6900</v>
      </c>
      <c r="F1668" s="338" t="s">
        <v>23</v>
      </c>
      <c r="G1668" s="338" t="s">
        <v>7</v>
      </c>
      <c r="H1668" s="204" t="s">
        <v>77</v>
      </c>
      <c r="I1668" s="204" t="s">
        <v>7479</v>
      </c>
    </row>
    <row r="1669" spans="1:10" x14ac:dyDescent="0.25">
      <c r="A1669" s="204" t="s">
        <v>1722</v>
      </c>
      <c r="B1669" s="9" t="str">
        <f t="shared" si="52"/>
        <v>52501200</v>
      </c>
      <c r="C1669" s="9" t="str">
        <f>VLOOKUP(B1669,COA!A:B,2,FALSE)</f>
        <v>Misc Oper - Pumping</v>
      </c>
      <c r="D1669" s="338" t="str">
        <f t="shared" si="51"/>
        <v>C6751</v>
      </c>
      <c r="E1669" s="338" t="s">
        <v>6900</v>
      </c>
      <c r="F1669" s="338" t="s">
        <v>6865</v>
      </c>
      <c r="G1669" s="338" t="s">
        <v>7</v>
      </c>
      <c r="H1669" s="204" t="s">
        <v>77</v>
      </c>
      <c r="I1669" s="204" t="s">
        <v>7479</v>
      </c>
    </row>
    <row r="1670" spans="1:10" x14ac:dyDescent="0.25">
      <c r="A1670" s="204" t="s">
        <v>1723</v>
      </c>
      <c r="B1670" s="9" t="str">
        <f t="shared" si="52"/>
        <v>52501300</v>
      </c>
      <c r="C1670" s="9" t="str">
        <f>VLOOKUP(B1670,COA!A:B,2,FALSE)</f>
        <v>Misc Oper - Water Treatment</v>
      </c>
      <c r="D1670" s="338" t="str">
        <f t="shared" si="51"/>
        <v>C6753</v>
      </c>
      <c r="E1670" s="338" t="s">
        <v>6900</v>
      </c>
      <c r="F1670" s="338" t="s">
        <v>9</v>
      </c>
      <c r="G1670" s="338" t="s">
        <v>7</v>
      </c>
      <c r="H1670" s="204" t="s">
        <v>77</v>
      </c>
      <c r="I1670" s="204" t="s">
        <v>7466</v>
      </c>
    </row>
    <row r="1671" spans="1:10" x14ac:dyDescent="0.25">
      <c r="A1671" s="204" t="s">
        <v>1724</v>
      </c>
      <c r="B1671" s="9" t="str">
        <f t="shared" si="52"/>
        <v>52501400</v>
      </c>
      <c r="C1671" s="9" t="str">
        <f>VLOOKUP(B1671,COA!A:B,2,FALSE)</f>
        <v>Misc Oper - Transmission &amp; Distribution</v>
      </c>
      <c r="D1671" s="338" t="str">
        <f t="shared" si="51"/>
        <v>C6755</v>
      </c>
      <c r="E1671" s="338" t="s">
        <v>6900</v>
      </c>
      <c r="F1671" s="338" t="s">
        <v>6978</v>
      </c>
      <c r="G1671" s="338" t="s">
        <v>7</v>
      </c>
      <c r="H1671" s="204" t="s">
        <v>77</v>
      </c>
      <c r="I1671" s="204" t="s">
        <v>7480</v>
      </c>
    </row>
    <row r="1672" spans="1:10" x14ac:dyDescent="0.25">
      <c r="A1672" s="204" t="s">
        <v>1725</v>
      </c>
      <c r="B1672" s="9" t="str">
        <f t="shared" si="52"/>
        <v>52501410</v>
      </c>
      <c r="C1672" s="9" t="str">
        <f>VLOOKUP(B1672,COA!A:B,2,FALSE)</f>
        <v>Misc Oper - Transmission &amp; Distribution Storage</v>
      </c>
      <c r="D1672" s="338" t="str">
        <f t="shared" si="51"/>
        <v>C6755</v>
      </c>
      <c r="E1672" s="338" t="s">
        <v>6900</v>
      </c>
      <c r="F1672" s="338" t="s">
        <v>6959</v>
      </c>
      <c r="G1672" s="338" t="s">
        <v>7</v>
      </c>
      <c r="H1672" s="204" t="s">
        <v>77</v>
      </c>
      <c r="I1672" s="204" t="s">
        <v>7480</v>
      </c>
    </row>
    <row r="1673" spans="1:10" x14ac:dyDescent="0.25">
      <c r="A1673" s="204" t="s">
        <v>1726</v>
      </c>
      <c r="B1673" s="9" t="str">
        <f t="shared" si="52"/>
        <v>52501415</v>
      </c>
      <c r="C1673" s="9" t="str">
        <f>VLOOKUP(B1673,COA!A:B,2,FALSE)</f>
        <v>Misc Oper - Transmission &amp; Distribution Mains</v>
      </c>
      <c r="D1673" s="338" t="str">
        <f t="shared" si="51"/>
        <v>C6755</v>
      </c>
      <c r="E1673" s="338" t="s">
        <v>6900</v>
      </c>
      <c r="F1673" s="338" t="s">
        <v>6982</v>
      </c>
      <c r="G1673" s="338" t="s">
        <v>7</v>
      </c>
      <c r="H1673" s="204" t="s">
        <v>77</v>
      </c>
      <c r="I1673" s="204" t="s">
        <v>7480</v>
      </c>
    </row>
    <row r="1674" spans="1:10" x14ac:dyDescent="0.25">
      <c r="A1674" s="204" t="s">
        <v>1727</v>
      </c>
      <c r="B1674" s="9" t="str">
        <f t="shared" si="52"/>
        <v>52501420</v>
      </c>
      <c r="C1674" s="9" t="str">
        <f>VLOOKUP(B1674,COA!A:B,2,FALSE)</f>
        <v>Misc Oper - Transmission &amp; Distribution Meters</v>
      </c>
      <c r="D1674" s="338" t="str">
        <f t="shared" si="51"/>
        <v>C6755</v>
      </c>
      <c r="E1674" s="338" t="s">
        <v>6900</v>
      </c>
      <c r="F1674" s="338" t="s">
        <v>28</v>
      </c>
      <c r="G1674" s="338" t="s">
        <v>7</v>
      </c>
      <c r="H1674" s="204" t="s">
        <v>77</v>
      </c>
      <c r="I1674" s="204" t="s">
        <v>7480</v>
      </c>
    </row>
    <row r="1675" spans="1:10" x14ac:dyDescent="0.25">
      <c r="A1675" s="204" t="s">
        <v>1728</v>
      </c>
      <c r="B1675" s="9" t="str">
        <f t="shared" si="52"/>
        <v>52501425</v>
      </c>
      <c r="C1675" s="9" t="str">
        <f>VLOOKUP(B1675,COA!A:B,2,FALSE)</f>
        <v>Misc Oper - Transmssn &amp; Distr Meter Install</v>
      </c>
      <c r="D1675" s="338" t="str">
        <f t="shared" ref="D1675:D1738" si="53">+I1675</f>
        <v>C6755</v>
      </c>
      <c r="E1675" s="338" t="s">
        <v>6900</v>
      </c>
      <c r="F1675" s="338" t="s">
        <v>28</v>
      </c>
      <c r="G1675" s="338" t="s">
        <v>7</v>
      </c>
      <c r="H1675" s="204" t="s">
        <v>77</v>
      </c>
      <c r="I1675" s="204" t="s">
        <v>7480</v>
      </c>
    </row>
    <row r="1676" spans="1:10" x14ac:dyDescent="0.25">
      <c r="A1676" s="204" t="s">
        <v>1729</v>
      </c>
      <c r="B1676" s="9" t="str">
        <f t="shared" si="52"/>
        <v>52501500</v>
      </c>
      <c r="C1676" s="9" t="str">
        <f>VLOOKUP(B1676,COA!A:B,2,FALSE)</f>
        <v>Misc Oper - Customer Accounting</v>
      </c>
      <c r="D1676" s="338" t="str">
        <f t="shared" si="53"/>
        <v>C6757</v>
      </c>
      <c r="E1676" s="338" t="s">
        <v>6900</v>
      </c>
      <c r="F1676" s="338" t="s">
        <v>6958</v>
      </c>
      <c r="G1676" s="338" t="s">
        <v>7</v>
      </c>
      <c r="H1676" s="204" t="s">
        <v>77</v>
      </c>
      <c r="I1676" s="204" t="s">
        <v>7481</v>
      </c>
    </row>
    <row r="1677" spans="1:10" x14ac:dyDescent="0.25">
      <c r="A1677" s="204" t="s">
        <v>1730</v>
      </c>
      <c r="B1677" s="9" t="str">
        <f t="shared" si="52"/>
        <v>52501510</v>
      </c>
      <c r="C1677" s="9" t="str">
        <f>VLOOKUP(B1677,COA!A:B,2,FALSE)</f>
        <v>Misc Oper - Customer Accounting Mtr Read</v>
      </c>
      <c r="D1677" s="338" t="str">
        <f t="shared" si="53"/>
        <v>C6757</v>
      </c>
      <c r="E1677" s="338" t="s">
        <v>6900</v>
      </c>
      <c r="F1677" s="338" t="s">
        <v>6958</v>
      </c>
      <c r="G1677" s="338" t="s">
        <v>7</v>
      </c>
      <c r="H1677" s="204" t="s">
        <v>77</v>
      </c>
      <c r="I1677" s="204" t="s">
        <v>7481</v>
      </c>
    </row>
    <row r="1678" spans="1:10" x14ac:dyDescent="0.25">
      <c r="A1678" s="204" t="s">
        <v>1731</v>
      </c>
      <c r="B1678" s="9" t="str">
        <f t="shared" si="52"/>
        <v>52501515</v>
      </c>
      <c r="C1678" s="9" t="str">
        <f>VLOOKUP(B1678,COA!A:B,2,FALSE)</f>
        <v>Misc Oper - Customer Accounting Cust Rec</v>
      </c>
      <c r="D1678" s="338" t="str">
        <f t="shared" si="53"/>
        <v>C6757</v>
      </c>
      <c r="E1678" s="338" t="s">
        <v>6900</v>
      </c>
      <c r="F1678" s="338" t="s">
        <v>6958</v>
      </c>
      <c r="G1678" s="338" t="s">
        <v>7</v>
      </c>
      <c r="H1678" s="204" t="s">
        <v>77</v>
      </c>
      <c r="I1678" s="204" t="s">
        <v>7481</v>
      </c>
    </row>
    <row r="1679" spans="1:10" x14ac:dyDescent="0.25">
      <c r="A1679" s="204" t="s">
        <v>1732</v>
      </c>
      <c r="B1679" s="9" t="str">
        <f t="shared" si="52"/>
        <v>52501520</v>
      </c>
      <c r="C1679" s="9" t="str">
        <f>VLOOKUP(B1679,COA!A:B,2,FALSE)</f>
        <v>Misc Oper - Customer Accounting Cust Serv</v>
      </c>
      <c r="D1679" s="338" t="str">
        <f t="shared" si="53"/>
        <v>C6757</v>
      </c>
      <c r="E1679" s="338" t="s">
        <v>6900</v>
      </c>
      <c r="F1679" s="338" t="s">
        <v>6958</v>
      </c>
      <c r="G1679" s="338" t="s">
        <v>7</v>
      </c>
      <c r="H1679" s="204" t="s">
        <v>77</v>
      </c>
      <c r="I1679" s="204" t="s">
        <v>7481</v>
      </c>
      <c r="J1679" s="205"/>
    </row>
    <row r="1680" spans="1:10" x14ac:dyDescent="0.25">
      <c r="A1680" s="204" t="s">
        <v>1733</v>
      </c>
      <c r="B1680" s="9" t="str">
        <f t="shared" si="52"/>
        <v>52501600</v>
      </c>
      <c r="C1680" s="9" t="str">
        <f>VLOOKUP(B1680,COA!A:B,2,FALSE)</f>
        <v>Misc Oper - Admin &amp; General</v>
      </c>
      <c r="D1680" s="338" t="str">
        <f t="shared" si="53"/>
        <v>C6758</v>
      </c>
      <c r="E1680" s="338" t="s">
        <v>6900</v>
      </c>
      <c r="F1680" s="338" t="s">
        <v>6866</v>
      </c>
      <c r="G1680" s="338" t="s">
        <v>7</v>
      </c>
      <c r="H1680" s="204" t="s">
        <v>77</v>
      </c>
      <c r="I1680" s="204" t="s">
        <v>7465</v>
      </c>
    </row>
    <row r="1681" spans="1:10" x14ac:dyDescent="0.25">
      <c r="A1681" s="204" t="s">
        <v>1734</v>
      </c>
      <c r="B1681" s="9" t="str">
        <f t="shared" si="52"/>
        <v>52503000</v>
      </c>
      <c r="C1681" s="9" t="str">
        <f>VLOOKUP(B1681,COA!A:B,2,FALSE)</f>
        <v>Advertising</v>
      </c>
      <c r="D1681" s="338" t="str">
        <f t="shared" si="53"/>
        <v>C6608</v>
      </c>
      <c r="E1681" s="338" t="s">
        <v>6900</v>
      </c>
      <c r="F1681" s="338" t="s">
        <v>6866</v>
      </c>
      <c r="G1681" s="338" t="s">
        <v>18</v>
      </c>
      <c r="H1681" s="204" t="s">
        <v>77</v>
      </c>
      <c r="I1681" s="204" t="s">
        <v>7482</v>
      </c>
    </row>
    <row r="1682" spans="1:10" x14ac:dyDescent="0.25">
      <c r="A1682" s="204" t="s">
        <v>1735</v>
      </c>
      <c r="B1682" s="9" t="str">
        <f t="shared" si="52"/>
        <v>52510000</v>
      </c>
      <c r="C1682" s="9" t="str">
        <f>VLOOKUP(B1682,COA!A:B,2,FALSE)</f>
        <v>Bank Service Charges - Natural Account</v>
      </c>
      <c r="D1682" s="338" t="str">
        <f t="shared" si="53"/>
        <v>C6758</v>
      </c>
      <c r="E1682" s="338" t="s">
        <v>6900</v>
      </c>
      <c r="G1682" s="338" t="s">
        <v>6881</v>
      </c>
      <c r="H1682" s="204" t="s">
        <v>77</v>
      </c>
      <c r="I1682" s="204" t="s">
        <v>7465</v>
      </c>
    </row>
    <row r="1683" spans="1:10" x14ac:dyDescent="0.25">
      <c r="A1683" s="204" t="s">
        <v>1736</v>
      </c>
      <c r="B1683" s="9" t="str">
        <f t="shared" si="52"/>
        <v>52510015</v>
      </c>
      <c r="C1683" s="9" t="str">
        <f>VLOOKUP(B1683,COA!A:B,2,FALSE)</f>
        <v>Bank Service Charges - Customer Accounting</v>
      </c>
      <c r="D1683" s="338" t="str">
        <f t="shared" si="53"/>
        <v>C6757</v>
      </c>
      <c r="E1683" s="338" t="s">
        <v>6900</v>
      </c>
      <c r="F1683" s="338" t="s">
        <v>6958</v>
      </c>
      <c r="G1683" s="338" t="s">
        <v>6881</v>
      </c>
      <c r="H1683" s="204" t="s">
        <v>77</v>
      </c>
      <c r="I1683" s="204" t="s">
        <v>7481</v>
      </c>
    </row>
    <row r="1684" spans="1:10" x14ac:dyDescent="0.25">
      <c r="A1684" s="204" t="s">
        <v>1737</v>
      </c>
      <c r="B1684" s="9" t="str">
        <f t="shared" si="52"/>
        <v>52510016</v>
      </c>
      <c r="C1684" s="9" t="str">
        <f>VLOOKUP(B1684,COA!A:B,2,FALSE)</f>
        <v>Bank Service Charges - Admin &amp; General</v>
      </c>
      <c r="D1684" s="338" t="str">
        <f t="shared" si="53"/>
        <v>C6758</v>
      </c>
      <c r="E1684" s="338" t="s">
        <v>6900</v>
      </c>
      <c r="F1684" s="338" t="s">
        <v>6866</v>
      </c>
      <c r="G1684" s="338" t="s">
        <v>6881</v>
      </c>
      <c r="H1684" s="204" t="s">
        <v>77</v>
      </c>
      <c r="I1684" s="204" t="s">
        <v>7465</v>
      </c>
    </row>
    <row r="1685" spans="1:10" x14ac:dyDescent="0.25">
      <c r="A1685" s="204" t="s">
        <v>1738</v>
      </c>
      <c r="B1685" s="9" t="str">
        <f t="shared" si="52"/>
        <v>52512500</v>
      </c>
      <c r="C1685" s="9" t="str">
        <f>VLOOKUP(B1685,COA!A:B,2,FALSE)</f>
        <v>Books &amp; Publications</v>
      </c>
      <c r="D1685" s="338" t="str">
        <f t="shared" si="53"/>
        <v>C6758</v>
      </c>
      <c r="E1685" s="338" t="s">
        <v>6900</v>
      </c>
      <c r="F1685" s="338" t="s">
        <v>6866</v>
      </c>
      <c r="G1685" s="338" t="s">
        <v>7</v>
      </c>
      <c r="H1685" s="204" t="s">
        <v>77</v>
      </c>
      <c r="I1685" s="204" t="s">
        <v>7465</v>
      </c>
    </row>
    <row r="1686" spans="1:10" x14ac:dyDescent="0.25">
      <c r="A1686" s="204" t="s">
        <v>1739</v>
      </c>
      <c r="B1686" s="9" t="str">
        <f t="shared" si="52"/>
        <v>52513200</v>
      </c>
      <c r="C1686" s="9" t="str">
        <f>VLOOKUP(B1686,COA!A:B,2,FALSE)</f>
        <v>Business Development</v>
      </c>
      <c r="D1686" s="338" t="str">
        <f t="shared" si="53"/>
        <v>C6758</v>
      </c>
      <c r="E1686" s="338" t="s">
        <v>6900</v>
      </c>
      <c r="F1686" s="338" t="s">
        <v>6866</v>
      </c>
      <c r="G1686" s="338" t="s">
        <v>7</v>
      </c>
      <c r="H1686" s="204" t="s">
        <v>77</v>
      </c>
      <c r="I1686" s="204" t="s">
        <v>7465</v>
      </c>
    </row>
    <row r="1687" spans="1:10" x14ac:dyDescent="0.25">
      <c r="A1687" s="204" t="s">
        <v>1740</v>
      </c>
      <c r="B1687" s="9" t="str">
        <f t="shared" si="52"/>
        <v>52514000</v>
      </c>
      <c r="C1687" s="9" t="str">
        <f>VLOOKUP(B1687,COA!A:B,2,FALSE)</f>
        <v>Charitable Contribution Deductible</v>
      </c>
      <c r="D1687" s="338" t="str">
        <f t="shared" si="53"/>
        <v>C6758</v>
      </c>
      <c r="E1687" s="338" t="s">
        <v>6900</v>
      </c>
      <c r="F1687" s="338" t="s">
        <v>6866</v>
      </c>
      <c r="G1687" s="338" t="s">
        <v>7</v>
      </c>
      <c r="H1687" s="204" t="s">
        <v>77</v>
      </c>
      <c r="I1687" s="204" t="s">
        <v>7465</v>
      </c>
    </row>
    <row r="1688" spans="1:10" x14ac:dyDescent="0.25">
      <c r="A1688" s="204" t="s">
        <v>1741</v>
      </c>
      <c r="B1688" s="9" t="str">
        <f t="shared" si="52"/>
        <v>52514100</v>
      </c>
      <c r="C1688" s="9" t="str">
        <f>VLOOKUP(B1688,COA!A:B,2,FALSE)</f>
        <v>Charitable Contribution Nondeductible</v>
      </c>
      <c r="D1688" s="338" t="str">
        <f t="shared" si="53"/>
        <v>C6758</v>
      </c>
      <c r="E1688" s="338" t="s">
        <v>6900</v>
      </c>
      <c r="F1688" s="338" t="s">
        <v>6866</v>
      </c>
      <c r="G1688" s="338" t="s">
        <v>7</v>
      </c>
      <c r="H1688" s="204" t="s">
        <v>77</v>
      </c>
      <c r="I1688" s="204" t="s">
        <v>7465</v>
      </c>
    </row>
    <row r="1689" spans="1:10" x14ac:dyDescent="0.25">
      <c r="A1689" s="204" t="s">
        <v>1742</v>
      </c>
      <c r="B1689" s="9" t="str">
        <f t="shared" si="52"/>
        <v>52514500</v>
      </c>
      <c r="C1689" s="9" t="str">
        <f>VLOOKUP(B1689,COA!A:B,2,FALSE)</f>
        <v>Charitable Donations - Health/Education/Environmnt</v>
      </c>
      <c r="D1689" s="338" t="str">
        <f t="shared" si="53"/>
        <v>C6758</v>
      </c>
      <c r="E1689" s="338" t="s">
        <v>6900</v>
      </c>
      <c r="F1689" s="338" t="s">
        <v>6866</v>
      </c>
      <c r="G1689" s="338" t="s">
        <v>7</v>
      </c>
      <c r="H1689" s="204" t="s">
        <v>77</v>
      </c>
      <c r="I1689" s="204" t="s">
        <v>7465</v>
      </c>
    </row>
    <row r="1690" spans="1:10" x14ac:dyDescent="0.25">
      <c r="A1690" s="204" t="s">
        <v>1743</v>
      </c>
      <c r="B1690" s="9" t="str">
        <f t="shared" si="52"/>
        <v>52514600</v>
      </c>
      <c r="C1690" s="9" t="str">
        <f>VLOOKUP(B1690,COA!A:B,2,FALSE)</f>
        <v>Charitable Donations - Community</v>
      </c>
      <c r="D1690" s="338" t="str">
        <f t="shared" si="53"/>
        <v>C6758</v>
      </c>
      <c r="E1690" s="338" t="s">
        <v>6900</v>
      </c>
      <c r="F1690" s="338" t="s">
        <v>6866</v>
      </c>
      <c r="G1690" s="338" t="s">
        <v>7</v>
      </c>
      <c r="H1690" s="204" t="s">
        <v>77</v>
      </c>
      <c r="I1690" s="204" t="s">
        <v>7465</v>
      </c>
    </row>
    <row r="1691" spans="1:10" x14ac:dyDescent="0.25">
      <c r="A1691" s="204" t="s">
        <v>1744</v>
      </c>
      <c r="B1691" s="9" t="str">
        <f t="shared" si="52"/>
        <v>52514700</v>
      </c>
      <c r="C1691" s="9" t="str">
        <f>VLOOKUP(B1691,COA!A:B,2,FALSE)</f>
        <v>Community Partnerships</v>
      </c>
      <c r="D1691" s="338" t="str">
        <f t="shared" si="53"/>
        <v>C6758</v>
      </c>
      <c r="E1691" s="338" t="s">
        <v>6900</v>
      </c>
      <c r="F1691" s="338" t="s">
        <v>6866</v>
      </c>
      <c r="G1691" s="338" t="s">
        <v>7</v>
      </c>
      <c r="H1691" s="204" t="s">
        <v>77</v>
      </c>
      <c r="I1691" s="204" t="s">
        <v>7465</v>
      </c>
    </row>
    <row r="1692" spans="1:10" x14ac:dyDescent="0.25">
      <c r="A1692" s="204" t="s">
        <v>1745</v>
      </c>
      <c r="B1692" s="9" t="str">
        <f t="shared" si="52"/>
        <v>52514800</v>
      </c>
      <c r="C1692" s="9" t="str">
        <f>VLOOKUP(B1692,COA!A:B,2,FALSE)</f>
        <v>Community Commercial Initiatives</v>
      </c>
      <c r="D1692" s="338" t="str">
        <f t="shared" si="53"/>
        <v>C6758</v>
      </c>
      <c r="E1692" s="338" t="s">
        <v>6900</v>
      </c>
      <c r="F1692" s="338" t="s">
        <v>6866</v>
      </c>
      <c r="G1692" s="338" t="s">
        <v>7</v>
      </c>
      <c r="H1692" s="204" t="s">
        <v>77</v>
      </c>
      <c r="I1692" s="204" t="s">
        <v>7465</v>
      </c>
    </row>
    <row r="1693" spans="1:10" x14ac:dyDescent="0.25">
      <c r="A1693" s="204" t="s">
        <v>1746</v>
      </c>
      <c r="B1693" s="9" t="str">
        <f t="shared" si="52"/>
        <v>52514900</v>
      </c>
      <c r="C1693" s="9" t="str">
        <f>VLOOKUP(B1693,COA!A:B,2,FALSE)</f>
        <v>Customer Education</v>
      </c>
      <c r="D1693" s="338" t="str">
        <f t="shared" si="53"/>
        <v>C6758</v>
      </c>
      <c r="E1693" s="338" t="s">
        <v>6900</v>
      </c>
      <c r="F1693" s="338" t="s">
        <v>6866</v>
      </c>
      <c r="G1693" s="338" t="s">
        <v>6917</v>
      </c>
      <c r="H1693" s="204" t="s">
        <v>77</v>
      </c>
      <c r="I1693" s="204" t="s">
        <v>7465</v>
      </c>
      <c r="J1693" s="205"/>
    </row>
    <row r="1694" spans="1:10" x14ac:dyDescent="0.25">
      <c r="A1694" s="204" t="s">
        <v>1747</v>
      </c>
      <c r="B1694" s="9" t="str">
        <f t="shared" si="52"/>
        <v>52514901</v>
      </c>
      <c r="C1694" s="9" t="str">
        <f>VLOOKUP(B1694,COA!A:B,2,FALSE)</f>
        <v>Customer Education Communication - Reg</v>
      </c>
      <c r="D1694" s="338" t="str">
        <f t="shared" si="53"/>
        <v>C6758</v>
      </c>
      <c r="E1694" s="338" t="s">
        <v>6900</v>
      </c>
      <c r="F1694" s="338" t="s">
        <v>6866</v>
      </c>
      <c r="G1694" s="338" t="s">
        <v>6917</v>
      </c>
      <c r="H1694" s="204" t="s">
        <v>77</v>
      </c>
      <c r="I1694" s="204" t="s">
        <v>7465</v>
      </c>
    </row>
    <row r="1695" spans="1:10" x14ac:dyDescent="0.25">
      <c r="A1695" s="204" t="s">
        <v>1748</v>
      </c>
      <c r="B1695" s="9" t="str">
        <f t="shared" si="52"/>
        <v>52514902</v>
      </c>
      <c r="C1695" s="9" t="str">
        <f>VLOOKUP(B1695,COA!A:B,2,FALSE)</f>
        <v>Customer Education Communication - Third Party</v>
      </c>
      <c r="D1695" s="338" t="str">
        <f t="shared" si="53"/>
        <v>C6758</v>
      </c>
      <c r="E1695" s="338" t="s">
        <v>6900</v>
      </c>
      <c r="F1695" s="338" t="s">
        <v>6866</v>
      </c>
      <c r="G1695" s="338" t="s">
        <v>6917</v>
      </c>
      <c r="H1695" s="204" t="s">
        <v>77</v>
      </c>
      <c r="I1695" s="204" t="s">
        <v>7465</v>
      </c>
    </row>
    <row r="1696" spans="1:10" x14ac:dyDescent="0.25">
      <c r="A1696" s="204" t="s">
        <v>1749</v>
      </c>
      <c r="B1696" s="9" t="str">
        <f t="shared" si="52"/>
        <v>52514903</v>
      </c>
      <c r="C1696" s="9" t="str">
        <f>VLOOKUP(B1696,COA!A:B,2,FALSE)</f>
        <v>Customer Education Communication - Issues</v>
      </c>
      <c r="D1696" s="338" t="str">
        <f t="shared" si="53"/>
        <v>C6758</v>
      </c>
      <c r="E1696" s="338" t="s">
        <v>6900</v>
      </c>
      <c r="F1696" s="338" t="s">
        <v>6866</v>
      </c>
      <c r="G1696" s="338" t="s">
        <v>6917</v>
      </c>
      <c r="H1696" s="204" t="s">
        <v>77</v>
      </c>
      <c r="I1696" s="204" t="s">
        <v>7465</v>
      </c>
    </row>
    <row r="1697" spans="1:10" x14ac:dyDescent="0.25">
      <c r="A1697" s="204" t="s">
        <v>1750</v>
      </c>
      <c r="B1697" s="9" t="str">
        <f t="shared" si="52"/>
        <v>52514904</v>
      </c>
      <c r="C1697" s="9" t="str">
        <f>VLOOKUP(B1697,COA!A:B,2,FALSE)</f>
        <v>Customer Education Communication - Conservation</v>
      </c>
      <c r="D1697" s="338" t="str">
        <f t="shared" si="53"/>
        <v>C6758</v>
      </c>
      <c r="E1697" s="338" t="s">
        <v>6900</v>
      </c>
      <c r="F1697" s="338" t="s">
        <v>6866</v>
      </c>
      <c r="G1697" s="338" t="s">
        <v>6917</v>
      </c>
      <c r="H1697" s="204" t="s">
        <v>77</v>
      </c>
      <c r="I1697" s="204" t="s">
        <v>7465</v>
      </c>
    </row>
    <row r="1698" spans="1:10" x14ac:dyDescent="0.25">
      <c r="A1698" s="204" t="s">
        <v>1751</v>
      </c>
      <c r="B1698" s="9" t="str">
        <f t="shared" si="52"/>
        <v>52514905</v>
      </c>
      <c r="C1698" s="9" t="str">
        <f>VLOOKUP(B1698,COA!A:B,2,FALSE)</f>
        <v>Customer Education Communication - Printed</v>
      </c>
      <c r="D1698" s="338" t="str">
        <f t="shared" si="53"/>
        <v>C6758</v>
      </c>
      <c r="E1698" s="338" t="s">
        <v>6900</v>
      </c>
      <c r="F1698" s="338" t="s">
        <v>6866</v>
      </c>
      <c r="G1698" s="338" t="s">
        <v>6917</v>
      </c>
      <c r="H1698" s="204" t="s">
        <v>77</v>
      </c>
      <c r="I1698" s="204" t="s">
        <v>7465</v>
      </c>
      <c r="J1698" s="205"/>
    </row>
    <row r="1699" spans="1:10" x14ac:dyDescent="0.25">
      <c r="A1699" s="204" t="s">
        <v>1752</v>
      </c>
      <c r="B1699" s="9" t="str">
        <f t="shared" si="52"/>
        <v>52514906</v>
      </c>
      <c r="C1699" s="9" t="str">
        <f>VLOOKUP(B1699,COA!A:B,2,FALSE)</f>
        <v>Customer Education - Bill Inserts</v>
      </c>
      <c r="D1699" s="338" t="str">
        <f t="shared" si="53"/>
        <v>C6758</v>
      </c>
      <c r="E1699" s="338" t="s">
        <v>6900</v>
      </c>
      <c r="F1699" s="338" t="s">
        <v>6866</v>
      </c>
      <c r="G1699" s="338" t="s">
        <v>6917</v>
      </c>
      <c r="H1699" s="204" t="s">
        <v>77</v>
      </c>
      <c r="I1699" s="204" t="s">
        <v>7465</v>
      </c>
    </row>
    <row r="1700" spans="1:10" x14ac:dyDescent="0.25">
      <c r="A1700" s="204" t="s">
        <v>1753</v>
      </c>
      <c r="B1700" s="9" t="str">
        <f t="shared" si="52"/>
        <v>52514907</v>
      </c>
      <c r="C1700" s="9" t="str">
        <f>VLOOKUP(B1700,COA!A:B,2,FALSE)</f>
        <v>Customer Education - Press Releases</v>
      </c>
      <c r="D1700" s="338" t="str">
        <f t="shared" si="53"/>
        <v>C6758</v>
      </c>
      <c r="E1700" s="338" t="s">
        <v>6900</v>
      </c>
      <c r="F1700" s="338" t="s">
        <v>6866</v>
      </c>
      <c r="G1700" s="338" t="s">
        <v>6917</v>
      </c>
      <c r="H1700" s="204" t="s">
        <v>77</v>
      </c>
      <c r="I1700" s="204" t="s">
        <v>7465</v>
      </c>
    </row>
    <row r="1701" spans="1:10" x14ac:dyDescent="0.25">
      <c r="A1701" s="204" t="s">
        <v>1754</v>
      </c>
      <c r="B1701" s="9" t="str">
        <f t="shared" si="52"/>
        <v>52514908</v>
      </c>
      <c r="C1701" s="9" t="str">
        <f>VLOOKUP(B1701,COA!A:B,2,FALSE)</f>
        <v>Customer Education - Media Editorial</v>
      </c>
      <c r="D1701" s="338" t="str">
        <f t="shared" si="53"/>
        <v>C6758</v>
      </c>
      <c r="E1701" s="338" t="s">
        <v>6900</v>
      </c>
      <c r="F1701" s="338" t="s">
        <v>6866</v>
      </c>
      <c r="G1701" s="338" t="s">
        <v>6917</v>
      </c>
      <c r="H1701" s="204" t="s">
        <v>77</v>
      </c>
      <c r="I1701" s="204" t="s">
        <v>7465</v>
      </c>
    </row>
    <row r="1702" spans="1:10" x14ac:dyDescent="0.25">
      <c r="A1702" s="204" t="s">
        <v>1755</v>
      </c>
      <c r="B1702" s="9" t="str">
        <f t="shared" si="52"/>
        <v>52514909</v>
      </c>
      <c r="C1702" s="9" t="str">
        <f>VLOOKUP(B1702,COA!A:B,2,FALSE)</f>
        <v>Customer Education - Video &amp; Photo</v>
      </c>
      <c r="D1702" s="338" t="str">
        <f t="shared" si="53"/>
        <v>C6758</v>
      </c>
      <c r="E1702" s="338" t="s">
        <v>6900</v>
      </c>
      <c r="F1702" s="338" t="s">
        <v>6866</v>
      </c>
      <c r="G1702" s="338" t="s">
        <v>6917</v>
      </c>
      <c r="H1702" s="204" t="s">
        <v>77</v>
      </c>
      <c r="I1702" s="204" t="s">
        <v>7465</v>
      </c>
    </row>
    <row r="1703" spans="1:10" x14ac:dyDescent="0.25">
      <c r="A1703" s="204" t="s">
        <v>1756</v>
      </c>
      <c r="B1703" s="9" t="str">
        <f t="shared" si="52"/>
        <v>52514910</v>
      </c>
      <c r="C1703" s="9" t="str">
        <f>VLOOKUP(B1703,COA!A:B,2,FALSE)</f>
        <v>Customer Education - Online Development/Production</v>
      </c>
      <c r="D1703" s="338" t="str">
        <f t="shared" si="53"/>
        <v>C6758</v>
      </c>
      <c r="E1703" s="338" t="s">
        <v>6900</v>
      </c>
      <c r="F1703" s="338" t="s">
        <v>6866</v>
      </c>
      <c r="G1703" s="338" t="s">
        <v>6917</v>
      </c>
      <c r="H1703" s="204" t="s">
        <v>77</v>
      </c>
      <c r="I1703" s="204" t="s">
        <v>7465</v>
      </c>
    </row>
    <row r="1704" spans="1:10" x14ac:dyDescent="0.25">
      <c r="A1704" s="204" t="s">
        <v>1757</v>
      </c>
      <c r="B1704" s="9" t="str">
        <f t="shared" si="52"/>
        <v>52515000</v>
      </c>
      <c r="C1704" s="9" t="str">
        <f>VLOOKUP(B1704,COA!A:B,2,FALSE)</f>
        <v>Community Relations - Events</v>
      </c>
      <c r="D1704" s="338" t="str">
        <f t="shared" si="53"/>
        <v>C6758</v>
      </c>
      <c r="E1704" s="338" t="s">
        <v>6900</v>
      </c>
      <c r="F1704" s="338" t="s">
        <v>6866</v>
      </c>
      <c r="G1704" s="338" t="s">
        <v>7</v>
      </c>
      <c r="H1704" s="204" t="s">
        <v>77</v>
      </c>
      <c r="I1704" s="204" t="s">
        <v>7465</v>
      </c>
    </row>
    <row r="1705" spans="1:10" x14ac:dyDescent="0.25">
      <c r="A1705" s="204" t="s">
        <v>1758</v>
      </c>
      <c r="B1705" s="9" t="str">
        <f t="shared" si="52"/>
        <v>52515001</v>
      </c>
      <c r="C1705" s="9" t="str">
        <f>VLOOKUP(B1705,COA!A:B,2,FALSE)</f>
        <v>Community Relations - Specialty</v>
      </c>
      <c r="D1705" s="338" t="str">
        <f t="shared" si="53"/>
        <v>C6758</v>
      </c>
      <c r="E1705" s="338" t="s">
        <v>6900</v>
      </c>
      <c r="F1705" s="338" t="s">
        <v>6866</v>
      </c>
      <c r="G1705" s="338" t="s">
        <v>7</v>
      </c>
      <c r="H1705" s="204" t="s">
        <v>77</v>
      </c>
      <c r="I1705" s="204" t="s">
        <v>7465</v>
      </c>
    </row>
    <row r="1706" spans="1:10" x14ac:dyDescent="0.25">
      <c r="A1706" s="204" t="s">
        <v>1759</v>
      </c>
      <c r="B1706" s="9" t="str">
        <f t="shared" si="52"/>
        <v>52520000</v>
      </c>
      <c r="C1706" s="9" t="str">
        <f>VLOOKUP(B1706,COA!A:B,2,FALSE)</f>
        <v>Collection Agencies</v>
      </c>
      <c r="D1706" s="338" t="str">
        <f t="shared" si="53"/>
        <v>C6757</v>
      </c>
      <c r="E1706" s="338" t="s">
        <v>6900</v>
      </c>
      <c r="F1706" s="338" t="s">
        <v>6958</v>
      </c>
      <c r="G1706" s="338" t="s">
        <v>7</v>
      </c>
      <c r="H1706" s="204" t="s">
        <v>77</v>
      </c>
      <c r="I1706" s="204" t="s">
        <v>7481</v>
      </c>
    </row>
    <row r="1707" spans="1:10" x14ac:dyDescent="0.25">
      <c r="A1707" s="204" t="s">
        <v>1760</v>
      </c>
      <c r="B1707" s="9" t="str">
        <f t="shared" si="52"/>
        <v>52522000</v>
      </c>
      <c r="C1707" s="9" t="str">
        <f>VLOOKUP(B1707,COA!A:B,2,FALSE)</f>
        <v>Community Relations</v>
      </c>
      <c r="D1707" s="338" t="str">
        <f t="shared" si="53"/>
        <v>C6758</v>
      </c>
      <c r="E1707" s="338" t="s">
        <v>6900</v>
      </c>
      <c r="F1707" s="338" t="s">
        <v>6866</v>
      </c>
      <c r="G1707" s="338" t="s">
        <v>7</v>
      </c>
      <c r="H1707" s="204" t="s">
        <v>77</v>
      </c>
      <c r="I1707" s="204" t="s">
        <v>7465</v>
      </c>
      <c r="J1707" s="205"/>
    </row>
    <row r="1708" spans="1:10" x14ac:dyDescent="0.25">
      <c r="A1708" s="204" t="s">
        <v>1761</v>
      </c>
      <c r="B1708" s="9" t="str">
        <f t="shared" si="52"/>
        <v>52524000</v>
      </c>
      <c r="C1708" s="9" t="str">
        <f>VLOOKUP(B1708,COA!A:B,2,FALSE)</f>
        <v>Co Dues/Membership Deductible</v>
      </c>
      <c r="D1708" s="338" t="str">
        <f t="shared" si="53"/>
        <v>C6758</v>
      </c>
      <c r="E1708" s="338" t="s">
        <v>6900</v>
      </c>
      <c r="F1708" s="338" t="s">
        <v>6866</v>
      </c>
      <c r="G1708" s="338" t="s">
        <v>7</v>
      </c>
      <c r="H1708" s="204" t="s">
        <v>77</v>
      </c>
      <c r="I1708" s="204" t="s">
        <v>7465</v>
      </c>
    </row>
    <row r="1709" spans="1:10" x14ac:dyDescent="0.25">
      <c r="A1709" s="204" t="s">
        <v>1762</v>
      </c>
      <c r="B1709" s="9" t="str">
        <f t="shared" si="52"/>
        <v>52524100</v>
      </c>
      <c r="C1709" s="9" t="str">
        <f>VLOOKUP(B1709,COA!A:B,2,FALSE)</f>
        <v>Co Dues/Membership Nondeductible</v>
      </c>
      <c r="D1709" s="338" t="str">
        <f t="shared" si="53"/>
        <v>C6758</v>
      </c>
      <c r="E1709" s="338" t="s">
        <v>6900</v>
      </c>
      <c r="F1709" s="338" t="s">
        <v>6866</v>
      </c>
      <c r="G1709" s="338" t="s">
        <v>7</v>
      </c>
      <c r="H1709" s="204" t="s">
        <v>77</v>
      </c>
      <c r="I1709" s="204" t="s">
        <v>7465</v>
      </c>
    </row>
    <row r="1710" spans="1:10" x14ac:dyDescent="0.25">
      <c r="A1710" s="204" t="s">
        <v>1763</v>
      </c>
      <c r="B1710" s="9" t="str">
        <f t="shared" ref="B1710:B1773" si="54">RIGHT(A1710,8)</f>
        <v>52525000</v>
      </c>
      <c r="C1710" s="9" t="str">
        <f>VLOOKUP(B1710,COA!A:B,2,FALSE)</f>
        <v>Condemnation Costs</v>
      </c>
      <c r="D1710" s="338" t="str">
        <f t="shared" si="53"/>
        <v>C6758</v>
      </c>
      <c r="E1710" s="338" t="s">
        <v>6900</v>
      </c>
      <c r="F1710" s="338" t="s">
        <v>6866</v>
      </c>
      <c r="G1710" s="338" t="s">
        <v>7</v>
      </c>
      <c r="H1710" s="204" t="s">
        <v>77</v>
      </c>
      <c r="I1710" s="204" t="s">
        <v>7465</v>
      </c>
    </row>
    <row r="1711" spans="1:10" x14ac:dyDescent="0.25">
      <c r="A1711" s="204" t="s">
        <v>1764</v>
      </c>
      <c r="B1711" s="9" t="str">
        <f t="shared" si="54"/>
        <v>52525500</v>
      </c>
      <c r="C1711" s="9" t="str">
        <f>VLOOKUP(B1711,COA!A:B,2,FALSE)</f>
        <v>Conservation Expense</v>
      </c>
      <c r="D1711" s="338" t="str">
        <f t="shared" si="53"/>
        <v>C6758</v>
      </c>
      <c r="E1711" s="338" t="s">
        <v>6900</v>
      </c>
      <c r="F1711" s="338" t="s">
        <v>6866</v>
      </c>
      <c r="G1711" s="338" t="s">
        <v>7</v>
      </c>
      <c r="H1711" s="204" t="s">
        <v>77</v>
      </c>
      <c r="I1711" s="204" t="s">
        <v>7465</v>
      </c>
    </row>
    <row r="1712" spans="1:10" x14ac:dyDescent="0.25">
      <c r="A1712" s="204" t="s">
        <v>1765</v>
      </c>
      <c r="B1712" s="9" t="str">
        <f t="shared" si="54"/>
        <v>52526000</v>
      </c>
      <c r="C1712" s="9" t="str">
        <f>VLOOKUP(B1712,COA!A:B,2,FALSE)</f>
        <v>Credit Line Fees</v>
      </c>
      <c r="D1712" s="338" t="str">
        <f t="shared" si="53"/>
        <v>C6758</v>
      </c>
      <c r="E1712" s="338" t="s">
        <v>6900</v>
      </c>
      <c r="F1712" s="338" t="s">
        <v>6866</v>
      </c>
      <c r="G1712" s="338" t="s">
        <v>7</v>
      </c>
      <c r="H1712" s="204" t="s">
        <v>77</v>
      </c>
      <c r="I1712" s="204" t="s">
        <v>7465</v>
      </c>
    </row>
    <row r="1713" spans="1:10" x14ac:dyDescent="0.25">
      <c r="A1713" s="204" t="s">
        <v>1766</v>
      </c>
      <c r="B1713" s="9" t="str">
        <f t="shared" si="54"/>
        <v>52526100</v>
      </c>
      <c r="C1713" s="9" t="str">
        <f>VLOOKUP(B1713,COA!A:B,2,FALSE)</f>
        <v>Credit Line Fees Interco</v>
      </c>
      <c r="D1713" s="338" t="str">
        <f t="shared" si="53"/>
        <v>C6758</v>
      </c>
      <c r="E1713" s="338" t="s">
        <v>6900</v>
      </c>
      <c r="F1713" s="338" t="s">
        <v>6866</v>
      </c>
      <c r="G1713" s="338" t="s">
        <v>7</v>
      </c>
      <c r="H1713" s="204" t="s">
        <v>77</v>
      </c>
      <c r="I1713" s="204" t="s">
        <v>7465</v>
      </c>
    </row>
    <row r="1714" spans="1:10" x14ac:dyDescent="0.25">
      <c r="A1714" s="204" t="s">
        <v>1767</v>
      </c>
      <c r="B1714" s="9" t="str">
        <f t="shared" si="54"/>
        <v>52527000</v>
      </c>
      <c r="C1714" s="9" t="str">
        <f>VLOOKUP(B1714,COA!A:B,2,FALSE)</f>
        <v>Directors Fees</v>
      </c>
      <c r="D1714" s="338" t="str">
        <f t="shared" si="53"/>
        <v>C6758</v>
      </c>
      <c r="E1714" s="338" t="s">
        <v>6900</v>
      </c>
      <c r="F1714" s="338" t="s">
        <v>6866</v>
      </c>
      <c r="G1714" s="338" t="s">
        <v>7</v>
      </c>
      <c r="H1714" s="204" t="s">
        <v>77</v>
      </c>
      <c r="I1714" s="204" t="s">
        <v>7465</v>
      </c>
    </row>
    <row r="1715" spans="1:10" x14ac:dyDescent="0.25">
      <c r="A1715" s="204" t="s">
        <v>1768</v>
      </c>
      <c r="B1715" s="9" t="str">
        <f t="shared" si="54"/>
        <v>52527100</v>
      </c>
      <c r="C1715" s="9" t="str">
        <f>VLOOKUP(B1715,COA!A:B,2,FALSE)</f>
        <v>Directors Expenses</v>
      </c>
      <c r="D1715" s="338" t="str">
        <f t="shared" si="53"/>
        <v>C6758</v>
      </c>
      <c r="E1715" s="338" t="s">
        <v>6900</v>
      </c>
      <c r="F1715" s="338" t="s">
        <v>6866</v>
      </c>
      <c r="G1715" s="338" t="s">
        <v>7</v>
      </c>
      <c r="H1715" s="204" t="s">
        <v>77</v>
      </c>
      <c r="I1715" s="204" t="s">
        <v>7465</v>
      </c>
    </row>
    <row r="1716" spans="1:10" x14ac:dyDescent="0.25">
      <c r="A1716" s="204" t="s">
        <v>1769</v>
      </c>
      <c r="B1716" s="9" t="str">
        <f t="shared" si="54"/>
        <v>52532000</v>
      </c>
      <c r="C1716" s="9" t="str">
        <f>VLOOKUP(B1716,COA!A:B,2,FALSE)</f>
        <v>Electricity - Natural Account</v>
      </c>
      <c r="D1716" s="338" t="str">
        <f t="shared" si="53"/>
        <v>C6758</v>
      </c>
      <c r="E1716" s="338" t="s">
        <v>6900</v>
      </c>
      <c r="F1716" s="338" t="s">
        <v>6866</v>
      </c>
      <c r="G1716" s="338" t="s">
        <v>7144</v>
      </c>
      <c r="H1716" s="204" t="s">
        <v>77</v>
      </c>
      <c r="I1716" s="204" t="s">
        <v>7465</v>
      </c>
      <c r="J1716" s="205"/>
    </row>
    <row r="1717" spans="1:10" x14ac:dyDescent="0.25">
      <c r="A1717" s="204" t="s">
        <v>1770</v>
      </c>
      <c r="B1717" s="9" t="str">
        <f t="shared" si="54"/>
        <v>52532011</v>
      </c>
      <c r="C1717" s="9" t="str">
        <f>VLOOKUP(B1717,COA!A:B,2,FALSE)</f>
        <v>Electricity - Source of Supply</v>
      </c>
      <c r="D1717" s="338" t="str">
        <f t="shared" si="53"/>
        <v>C6751</v>
      </c>
      <c r="E1717" s="338" t="s">
        <v>6900</v>
      </c>
      <c r="F1717" s="338" t="s">
        <v>23</v>
      </c>
      <c r="G1717" s="338" t="s">
        <v>7144</v>
      </c>
      <c r="H1717" s="204" t="s">
        <v>77</v>
      </c>
      <c r="I1717" s="204" t="s">
        <v>7479</v>
      </c>
    </row>
    <row r="1718" spans="1:10" x14ac:dyDescent="0.25">
      <c r="A1718" s="204" t="s">
        <v>1771</v>
      </c>
      <c r="B1718" s="9" t="str">
        <f t="shared" si="54"/>
        <v>52532013</v>
      </c>
      <c r="C1718" s="9" t="str">
        <f>VLOOKUP(B1718,COA!A:B,2,FALSE)</f>
        <v>Electricity - Water Treatment</v>
      </c>
      <c r="D1718" s="338" t="str">
        <f t="shared" si="53"/>
        <v>C6753</v>
      </c>
      <c r="E1718" s="338" t="s">
        <v>6900</v>
      </c>
      <c r="F1718" s="338" t="s">
        <v>9</v>
      </c>
      <c r="G1718" s="338" t="s">
        <v>7144</v>
      </c>
      <c r="H1718" s="204" t="s">
        <v>77</v>
      </c>
      <c r="I1718" s="204" t="s">
        <v>7466</v>
      </c>
    </row>
    <row r="1719" spans="1:10" x14ac:dyDescent="0.25">
      <c r="A1719" s="204" t="s">
        <v>1772</v>
      </c>
      <c r="B1719" s="9" t="str">
        <f t="shared" si="54"/>
        <v>52532014</v>
      </c>
      <c r="C1719" s="9" t="str">
        <f>VLOOKUP(B1719,COA!A:B,2,FALSE)</f>
        <v>Electricity - Transmission &amp; Distribution</v>
      </c>
      <c r="D1719" s="338" t="str">
        <f t="shared" si="53"/>
        <v>C6755</v>
      </c>
      <c r="E1719" s="338" t="s">
        <v>6900</v>
      </c>
      <c r="F1719" s="338" t="s">
        <v>6978</v>
      </c>
      <c r="G1719" s="338" t="s">
        <v>7144</v>
      </c>
      <c r="H1719" s="204" t="s">
        <v>77</v>
      </c>
      <c r="I1719" s="204" t="s">
        <v>7480</v>
      </c>
    </row>
    <row r="1720" spans="1:10" x14ac:dyDescent="0.25">
      <c r="A1720" s="204" t="s">
        <v>1773</v>
      </c>
      <c r="B1720" s="9" t="str">
        <f t="shared" si="54"/>
        <v>52532015</v>
      </c>
      <c r="C1720" s="9" t="str">
        <f>VLOOKUP(B1720,COA!A:B,2,FALSE)</f>
        <v>Electricity - Customer Accounting</v>
      </c>
      <c r="D1720" s="338" t="str">
        <f t="shared" si="53"/>
        <v>C6757</v>
      </c>
      <c r="E1720" s="338" t="s">
        <v>6900</v>
      </c>
      <c r="F1720" s="338" t="s">
        <v>6958</v>
      </c>
      <c r="G1720" s="338" t="s">
        <v>7144</v>
      </c>
      <c r="H1720" s="204" t="s">
        <v>77</v>
      </c>
      <c r="I1720" s="204" t="s">
        <v>7481</v>
      </c>
    </row>
    <row r="1721" spans="1:10" x14ac:dyDescent="0.25">
      <c r="A1721" s="204" t="s">
        <v>1774</v>
      </c>
      <c r="B1721" s="9" t="str">
        <f t="shared" si="54"/>
        <v>52532016</v>
      </c>
      <c r="C1721" s="9" t="str">
        <f>VLOOKUP(B1721,COA!A:B,2,FALSE)</f>
        <v>Electricity - Admin &amp; General</v>
      </c>
      <c r="D1721" s="338" t="str">
        <f t="shared" si="53"/>
        <v>C6758</v>
      </c>
      <c r="E1721" s="338" t="s">
        <v>6900</v>
      </c>
      <c r="F1721" s="338" t="s">
        <v>6866</v>
      </c>
      <c r="G1721" s="338" t="s">
        <v>7144</v>
      </c>
      <c r="H1721" s="204" t="s">
        <v>77</v>
      </c>
      <c r="I1721" s="204" t="s">
        <v>7465</v>
      </c>
    </row>
    <row r="1722" spans="1:10" x14ac:dyDescent="0.25">
      <c r="A1722" s="204" t="s">
        <v>1775</v>
      </c>
      <c r="B1722" s="9" t="str">
        <f t="shared" si="54"/>
        <v>52534000</v>
      </c>
      <c r="C1722" s="9" t="str">
        <f>VLOOKUP(B1722,COA!A:B,2,FALSE)</f>
        <v>Employee Expenses</v>
      </c>
      <c r="D1722" s="338" t="str">
        <f t="shared" si="53"/>
        <v>C6758</v>
      </c>
      <c r="E1722" s="338" t="s">
        <v>6900</v>
      </c>
      <c r="F1722" s="338" t="s">
        <v>6866</v>
      </c>
      <c r="G1722" s="338" t="s">
        <v>7</v>
      </c>
      <c r="H1722" s="204" t="s">
        <v>77</v>
      </c>
      <c r="I1722" s="204" t="s">
        <v>7465</v>
      </c>
      <c r="J1722" s="205"/>
    </row>
    <row r="1723" spans="1:10" x14ac:dyDescent="0.25">
      <c r="A1723" s="204" t="s">
        <v>1776</v>
      </c>
      <c r="B1723" s="9" t="str">
        <f t="shared" si="54"/>
        <v>52534200</v>
      </c>
      <c r="C1723" s="9" t="str">
        <f>VLOOKUP(B1723,COA!A:B,2,FALSE)</f>
        <v>Conferences &amp; Registration</v>
      </c>
      <c r="D1723" s="338" t="str">
        <f t="shared" si="53"/>
        <v>C6758</v>
      </c>
      <c r="E1723" s="338" t="s">
        <v>6900</v>
      </c>
      <c r="F1723" s="338" t="s">
        <v>6866</v>
      </c>
      <c r="G1723" s="338" t="s">
        <v>7</v>
      </c>
      <c r="H1723" s="204" t="s">
        <v>77</v>
      </c>
      <c r="I1723" s="204" t="s">
        <v>7465</v>
      </c>
    </row>
    <row r="1724" spans="1:10" x14ac:dyDescent="0.25">
      <c r="A1724" s="204" t="s">
        <v>1777</v>
      </c>
      <c r="B1724" s="9" t="str">
        <f t="shared" si="54"/>
        <v>52535000</v>
      </c>
      <c r="C1724" s="9" t="str">
        <f>VLOOKUP(B1724,COA!A:B,2,FALSE)</f>
        <v>Meals Deductible</v>
      </c>
      <c r="D1724" s="338" t="str">
        <f t="shared" si="53"/>
        <v>C6758</v>
      </c>
      <c r="E1724" s="338" t="s">
        <v>6900</v>
      </c>
      <c r="F1724" s="338" t="s">
        <v>6866</v>
      </c>
      <c r="G1724" s="338" t="s">
        <v>7</v>
      </c>
      <c r="H1724" s="204" t="s">
        <v>77</v>
      </c>
      <c r="I1724" s="204" t="s">
        <v>7465</v>
      </c>
    </row>
    <row r="1725" spans="1:10" x14ac:dyDescent="0.25">
      <c r="A1725" s="204" t="s">
        <v>1778</v>
      </c>
      <c r="B1725" s="9" t="str">
        <f t="shared" si="54"/>
        <v>52535100</v>
      </c>
      <c r="C1725" s="9" t="str">
        <f>VLOOKUP(B1725,COA!A:B,2,FALSE)</f>
        <v>Meals Non-Deductible</v>
      </c>
      <c r="D1725" s="338" t="str">
        <f t="shared" si="53"/>
        <v>C6758</v>
      </c>
      <c r="E1725" s="338" t="s">
        <v>6900</v>
      </c>
      <c r="F1725" s="338" t="s">
        <v>6866</v>
      </c>
      <c r="G1725" s="338" t="s">
        <v>7</v>
      </c>
      <c r="H1725" s="204" t="s">
        <v>77</v>
      </c>
      <c r="I1725" s="204" t="s">
        <v>7465</v>
      </c>
    </row>
    <row r="1726" spans="1:10" x14ac:dyDescent="0.25">
      <c r="A1726" s="204" t="s">
        <v>1779</v>
      </c>
      <c r="B1726" s="9" t="str">
        <f t="shared" si="54"/>
        <v>52540000</v>
      </c>
      <c r="C1726" s="9" t="str">
        <f>VLOOKUP(B1726,COA!A:B,2,FALSE)</f>
        <v>Amort Bus Services Proj Exp</v>
      </c>
      <c r="D1726" s="338" t="str">
        <f t="shared" si="53"/>
        <v>C6758</v>
      </c>
      <c r="E1726" s="338" t="s">
        <v>6900</v>
      </c>
      <c r="F1726" s="338" t="s">
        <v>6866</v>
      </c>
      <c r="G1726" s="338">
        <v>0</v>
      </c>
      <c r="H1726" s="204" t="s">
        <v>77</v>
      </c>
      <c r="I1726" s="204" t="s">
        <v>7465</v>
      </c>
    </row>
    <row r="1727" spans="1:10" x14ac:dyDescent="0.25">
      <c r="A1727" s="204" t="s">
        <v>1780</v>
      </c>
      <c r="B1727" s="9" t="str">
        <f t="shared" si="54"/>
        <v>52542000</v>
      </c>
      <c r="C1727" s="9" t="str">
        <f>VLOOKUP(B1727,COA!A:B,2,FALSE)</f>
        <v>Forms - Natural Account</v>
      </c>
      <c r="D1727" s="338" t="str">
        <f t="shared" si="53"/>
        <v>C6758</v>
      </c>
      <c r="E1727" s="338" t="s">
        <v>6900</v>
      </c>
      <c r="F1727" s="338" t="s">
        <v>6866</v>
      </c>
      <c r="G1727" s="338" t="s">
        <v>6869</v>
      </c>
      <c r="H1727" s="204" t="s">
        <v>77</v>
      </c>
      <c r="I1727" s="204" t="s">
        <v>7465</v>
      </c>
    </row>
    <row r="1728" spans="1:10" x14ac:dyDescent="0.25">
      <c r="A1728" s="204" t="s">
        <v>1781</v>
      </c>
      <c r="B1728" s="9" t="str">
        <f t="shared" si="54"/>
        <v>52542015</v>
      </c>
      <c r="C1728" s="9" t="str">
        <f>VLOOKUP(B1728,COA!A:B,2,FALSE)</f>
        <v>Forms - Customer Accounting</v>
      </c>
      <c r="D1728" s="338" t="str">
        <f t="shared" si="53"/>
        <v>C6757</v>
      </c>
      <c r="E1728" s="338" t="s">
        <v>6900</v>
      </c>
      <c r="F1728" s="338" t="s">
        <v>6958</v>
      </c>
      <c r="G1728" s="338" t="s">
        <v>6869</v>
      </c>
      <c r="H1728" s="204" t="s">
        <v>77</v>
      </c>
      <c r="I1728" s="204" t="s">
        <v>7481</v>
      </c>
    </row>
    <row r="1729" spans="1:10" x14ac:dyDescent="0.25">
      <c r="A1729" s="204" t="s">
        <v>1782</v>
      </c>
      <c r="B1729" s="9" t="str">
        <f t="shared" si="54"/>
        <v>52542016</v>
      </c>
      <c r="C1729" s="9" t="str">
        <f>VLOOKUP(B1729,COA!A:B,2,FALSE)</f>
        <v>Forms - Admin &amp; General</v>
      </c>
      <c r="D1729" s="338" t="str">
        <f t="shared" si="53"/>
        <v>C6758</v>
      </c>
      <c r="E1729" s="338" t="s">
        <v>6900</v>
      </c>
      <c r="F1729" s="338" t="s">
        <v>6866</v>
      </c>
      <c r="G1729" s="338" t="s">
        <v>6869</v>
      </c>
      <c r="H1729" s="204" t="s">
        <v>77</v>
      </c>
      <c r="I1729" s="204" t="s">
        <v>7465</v>
      </c>
    </row>
    <row r="1730" spans="1:10" x14ac:dyDescent="0.25">
      <c r="A1730" s="204" t="s">
        <v>1783</v>
      </c>
      <c r="B1730" s="9" t="str">
        <f t="shared" si="54"/>
        <v>52546000</v>
      </c>
      <c r="C1730" s="9" t="str">
        <f>VLOOKUP(B1730,COA!A:B,2,FALSE)</f>
        <v>Grounds Keeping - Natural Account</v>
      </c>
      <c r="D1730" s="338" t="str">
        <f t="shared" si="53"/>
        <v>C6758</v>
      </c>
      <c r="E1730" s="338" t="s">
        <v>6900</v>
      </c>
      <c r="F1730" s="338" t="s">
        <v>6866</v>
      </c>
      <c r="G1730" s="338" t="s">
        <v>7144</v>
      </c>
      <c r="H1730" s="204" t="s">
        <v>77</v>
      </c>
      <c r="I1730" s="204" t="s">
        <v>7465</v>
      </c>
    </row>
    <row r="1731" spans="1:10" x14ac:dyDescent="0.25">
      <c r="A1731" s="204" t="s">
        <v>1784</v>
      </c>
      <c r="B1731" s="9" t="str">
        <f t="shared" si="54"/>
        <v>52546011</v>
      </c>
      <c r="C1731" s="9" t="str">
        <f>VLOOKUP(B1731,COA!A:B,2,FALSE)</f>
        <v>Grounds Keeping - Source of Supply</v>
      </c>
      <c r="D1731" s="338" t="str">
        <f t="shared" si="53"/>
        <v>C6751</v>
      </c>
      <c r="E1731" s="338" t="s">
        <v>6900</v>
      </c>
      <c r="F1731" s="338" t="s">
        <v>23</v>
      </c>
      <c r="G1731" s="338" t="s">
        <v>7144</v>
      </c>
      <c r="H1731" s="204" t="s">
        <v>77</v>
      </c>
      <c r="I1731" s="204" t="s">
        <v>7479</v>
      </c>
    </row>
    <row r="1732" spans="1:10" x14ac:dyDescent="0.25">
      <c r="A1732" s="204" t="s">
        <v>1785</v>
      </c>
      <c r="B1732" s="9" t="str">
        <f t="shared" si="54"/>
        <v>52546013</v>
      </c>
      <c r="C1732" s="9" t="str">
        <f>VLOOKUP(B1732,COA!A:B,2,FALSE)</f>
        <v>Grounds Keeping - Water Treatment</v>
      </c>
      <c r="D1732" s="338" t="str">
        <f t="shared" si="53"/>
        <v>C6753</v>
      </c>
      <c r="E1732" s="338" t="s">
        <v>6900</v>
      </c>
      <c r="F1732" s="338" t="s">
        <v>9</v>
      </c>
      <c r="G1732" s="338" t="s">
        <v>7144</v>
      </c>
      <c r="H1732" s="204" t="s">
        <v>77</v>
      </c>
      <c r="I1732" s="204" t="s">
        <v>7466</v>
      </c>
    </row>
    <row r="1733" spans="1:10" x14ac:dyDescent="0.25">
      <c r="A1733" s="204" t="s">
        <v>1786</v>
      </c>
      <c r="B1733" s="9" t="str">
        <f t="shared" si="54"/>
        <v>52546014</v>
      </c>
      <c r="C1733" s="9" t="str">
        <f>VLOOKUP(B1733,COA!A:B,2,FALSE)</f>
        <v>Grounds Keeping - Transmission &amp; Distribution</v>
      </c>
      <c r="D1733" s="338" t="str">
        <f t="shared" si="53"/>
        <v>C6755</v>
      </c>
      <c r="E1733" s="338" t="s">
        <v>6900</v>
      </c>
      <c r="F1733" s="338" t="s">
        <v>6978</v>
      </c>
      <c r="G1733" s="338" t="s">
        <v>7144</v>
      </c>
      <c r="H1733" s="204" t="s">
        <v>77</v>
      </c>
      <c r="I1733" s="204" t="s">
        <v>7480</v>
      </c>
    </row>
    <row r="1734" spans="1:10" x14ac:dyDescent="0.25">
      <c r="A1734" s="204" t="s">
        <v>1787</v>
      </c>
      <c r="B1734" s="9" t="str">
        <f t="shared" si="54"/>
        <v>52546016</v>
      </c>
      <c r="C1734" s="9" t="str">
        <f>VLOOKUP(B1734,COA!A:B,2,FALSE)</f>
        <v>Grounds Keeping - Admin &amp; General</v>
      </c>
      <c r="D1734" s="338" t="str">
        <f t="shared" si="53"/>
        <v>C6758</v>
      </c>
      <c r="E1734" s="338" t="s">
        <v>6900</v>
      </c>
      <c r="F1734" s="338" t="s">
        <v>6866</v>
      </c>
      <c r="G1734" s="338" t="s">
        <v>7144</v>
      </c>
      <c r="H1734" s="204" t="s">
        <v>77</v>
      </c>
      <c r="I1734" s="204" t="s">
        <v>7465</v>
      </c>
    </row>
    <row r="1735" spans="1:10" x14ac:dyDescent="0.25">
      <c r="A1735" s="204" t="s">
        <v>1788</v>
      </c>
      <c r="B1735" s="9" t="str">
        <f t="shared" si="54"/>
        <v>52548000</v>
      </c>
      <c r="C1735" s="9" t="str">
        <f>VLOOKUP(B1735,COA!A:B,2,FALSE)</f>
        <v>Heating Oil/Gas - Natural Account</v>
      </c>
      <c r="D1735" s="338" t="str">
        <f t="shared" si="53"/>
        <v>C6758</v>
      </c>
      <c r="E1735" s="338" t="s">
        <v>6900</v>
      </c>
      <c r="F1735" s="338" t="s">
        <v>6866</v>
      </c>
      <c r="G1735" s="338" t="s">
        <v>7144</v>
      </c>
      <c r="H1735" s="204" t="s">
        <v>77</v>
      </c>
      <c r="I1735" s="204" t="s">
        <v>7465</v>
      </c>
      <c r="J1735" s="205"/>
    </row>
    <row r="1736" spans="1:10" x14ac:dyDescent="0.25">
      <c r="A1736" s="204" t="s">
        <v>1789</v>
      </c>
      <c r="B1736" s="9" t="str">
        <f t="shared" si="54"/>
        <v>52548011</v>
      </c>
      <c r="C1736" s="9" t="str">
        <f>VLOOKUP(B1736,COA!A:B,2,FALSE)</f>
        <v>Heating Oil/Gas - Source of Supply</v>
      </c>
      <c r="D1736" s="338" t="str">
        <f t="shared" si="53"/>
        <v>C6751</v>
      </c>
      <c r="E1736" s="338" t="s">
        <v>6900</v>
      </c>
      <c r="F1736" s="338" t="s">
        <v>23</v>
      </c>
      <c r="G1736" s="338" t="s">
        <v>7144</v>
      </c>
      <c r="H1736" s="204" t="s">
        <v>77</v>
      </c>
      <c r="I1736" s="204" t="s">
        <v>7479</v>
      </c>
    </row>
    <row r="1737" spans="1:10" x14ac:dyDescent="0.25">
      <c r="A1737" s="204" t="s">
        <v>1790</v>
      </c>
      <c r="B1737" s="9" t="str">
        <f t="shared" si="54"/>
        <v>52548013</v>
      </c>
      <c r="C1737" s="9" t="str">
        <f>VLOOKUP(B1737,COA!A:B,2,FALSE)</f>
        <v>Heating Oil/Gas - Water Treatment</v>
      </c>
      <c r="D1737" s="338" t="str">
        <f t="shared" si="53"/>
        <v>C6753</v>
      </c>
      <c r="E1737" s="338" t="s">
        <v>6900</v>
      </c>
      <c r="F1737" s="338" t="s">
        <v>9</v>
      </c>
      <c r="G1737" s="338" t="s">
        <v>7144</v>
      </c>
      <c r="H1737" s="204" t="s">
        <v>77</v>
      </c>
      <c r="I1737" s="204" t="s">
        <v>7466</v>
      </c>
    </row>
    <row r="1738" spans="1:10" x14ac:dyDescent="0.25">
      <c r="A1738" s="204" t="s">
        <v>1791</v>
      </c>
      <c r="B1738" s="9" t="str">
        <f t="shared" si="54"/>
        <v>52548014</v>
      </c>
      <c r="C1738" s="9" t="str">
        <f>VLOOKUP(B1738,COA!A:B,2,FALSE)</f>
        <v>Heating Oil/Gas - Transmission &amp; Distribution</v>
      </c>
      <c r="D1738" s="338" t="str">
        <f t="shared" si="53"/>
        <v>C6755</v>
      </c>
      <c r="E1738" s="338" t="s">
        <v>6900</v>
      </c>
      <c r="F1738" s="338" t="s">
        <v>6978</v>
      </c>
      <c r="G1738" s="338" t="s">
        <v>7144</v>
      </c>
      <c r="H1738" s="204" t="s">
        <v>77</v>
      </c>
      <c r="I1738" s="204" t="s">
        <v>7480</v>
      </c>
    </row>
    <row r="1739" spans="1:10" x14ac:dyDescent="0.25">
      <c r="A1739" s="204" t="s">
        <v>1792</v>
      </c>
      <c r="B1739" s="9" t="str">
        <f t="shared" si="54"/>
        <v>52548015</v>
      </c>
      <c r="C1739" s="9" t="str">
        <f>VLOOKUP(B1739,COA!A:B,2,FALSE)</f>
        <v>Heating Oil/Gas - Customer Accounting</v>
      </c>
      <c r="D1739" s="338" t="str">
        <f t="shared" ref="D1739:D1802" si="55">+I1739</f>
        <v>C6757</v>
      </c>
      <c r="E1739" s="338" t="s">
        <v>6900</v>
      </c>
      <c r="F1739" s="338" t="s">
        <v>6958</v>
      </c>
      <c r="G1739" s="338" t="s">
        <v>7144</v>
      </c>
      <c r="H1739" s="204" t="s">
        <v>77</v>
      </c>
      <c r="I1739" s="204" t="s">
        <v>7481</v>
      </c>
    </row>
    <row r="1740" spans="1:10" x14ac:dyDescent="0.25">
      <c r="A1740" s="204" t="s">
        <v>1793</v>
      </c>
      <c r="B1740" s="9" t="str">
        <f t="shared" si="54"/>
        <v>52548016</v>
      </c>
      <c r="C1740" s="9" t="str">
        <f>VLOOKUP(B1740,COA!A:B,2,FALSE)</f>
        <v>Heating Oil/Gas - Admin &amp; General</v>
      </c>
      <c r="D1740" s="338" t="str">
        <f t="shared" si="55"/>
        <v>C6758</v>
      </c>
      <c r="E1740" s="338" t="s">
        <v>6900</v>
      </c>
      <c r="F1740" s="338" t="s">
        <v>6866</v>
      </c>
      <c r="G1740" s="338" t="s">
        <v>7144</v>
      </c>
      <c r="H1740" s="204" t="s">
        <v>77</v>
      </c>
      <c r="I1740" s="204" t="s">
        <v>7465</v>
      </c>
    </row>
    <row r="1741" spans="1:10" x14ac:dyDescent="0.25">
      <c r="A1741" s="204" t="s">
        <v>1794</v>
      </c>
      <c r="B1741" s="9" t="str">
        <f t="shared" si="54"/>
        <v>52548100</v>
      </c>
      <c r="C1741" s="9" t="str">
        <f>VLOOKUP(B1741,COA!A:B,2,FALSE)</f>
        <v>Hiring Costs</v>
      </c>
      <c r="D1741" s="338" t="str">
        <f t="shared" si="55"/>
        <v>C6758</v>
      </c>
      <c r="E1741" s="338" t="s">
        <v>6900</v>
      </c>
      <c r="F1741" s="338" t="s">
        <v>6866</v>
      </c>
      <c r="G1741" s="338" t="s">
        <v>7</v>
      </c>
      <c r="H1741" s="204" t="s">
        <v>77</v>
      </c>
      <c r="I1741" s="204" t="s">
        <v>7465</v>
      </c>
    </row>
    <row r="1742" spans="1:10" x14ac:dyDescent="0.25">
      <c r="A1742" s="204" t="s">
        <v>1795</v>
      </c>
      <c r="B1742" s="9" t="str">
        <f t="shared" si="54"/>
        <v>52549000</v>
      </c>
      <c r="C1742" s="9" t="str">
        <f>VLOOKUP(B1742,COA!A:B,2,FALSE)</f>
        <v>Injuries and Damages</v>
      </c>
      <c r="D1742" s="338" t="str">
        <f t="shared" si="55"/>
        <v>C6758</v>
      </c>
      <c r="E1742" s="338" t="s">
        <v>6900</v>
      </c>
      <c r="F1742" s="338" t="s">
        <v>6866</v>
      </c>
      <c r="G1742" s="338" t="s">
        <v>7</v>
      </c>
      <c r="H1742" s="204" t="s">
        <v>77</v>
      </c>
      <c r="I1742" s="204" t="s">
        <v>7465</v>
      </c>
    </row>
    <row r="1743" spans="1:10" x14ac:dyDescent="0.25">
      <c r="A1743" s="204" t="s">
        <v>1796</v>
      </c>
      <c r="B1743" s="9" t="str">
        <f t="shared" si="54"/>
        <v>52549500</v>
      </c>
      <c r="C1743" s="9" t="str">
        <f>VLOOKUP(B1743,COA!A:B,2,FALSE)</f>
        <v>Inventory Physical Write-off Scrap</v>
      </c>
      <c r="D1743" s="338" t="str">
        <f t="shared" si="55"/>
        <v>C6758</v>
      </c>
      <c r="E1743" s="338" t="s">
        <v>6900</v>
      </c>
      <c r="F1743" s="338" t="s">
        <v>6866</v>
      </c>
      <c r="G1743" s="338" t="s">
        <v>7</v>
      </c>
      <c r="H1743" s="204" t="s">
        <v>77</v>
      </c>
      <c r="I1743" s="204" t="s">
        <v>7465</v>
      </c>
    </row>
    <row r="1744" spans="1:10" x14ac:dyDescent="0.25">
      <c r="A1744" s="204" t="s">
        <v>1797</v>
      </c>
      <c r="B1744" s="9" t="str">
        <f t="shared" si="54"/>
        <v>52550000</v>
      </c>
      <c r="C1744" s="9" t="str">
        <f>VLOOKUP(B1744,COA!A:B,2,FALSE)</f>
        <v>Janitorial - Natural Account</v>
      </c>
      <c r="D1744" s="338" t="str">
        <f t="shared" si="55"/>
        <v>C6758</v>
      </c>
      <c r="E1744" s="338" t="s">
        <v>6900</v>
      </c>
      <c r="F1744" s="338" t="s">
        <v>6866</v>
      </c>
      <c r="G1744" s="338" t="s">
        <v>7144</v>
      </c>
      <c r="H1744" s="204" t="s">
        <v>77</v>
      </c>
      <c r="I1744" s="204" t="s">
        <v>7465</v>
      </c>
      <c r="J1744" s="205"/>
    </row>
    <row r="1745" spans="1:10" x14ac:dyDescent="0.25">
      <c r="A1745" s="204" t="s">
        <v>1798</v>
      </c>
      <c r="B1745" s="9" t="str">
        <f t="shared" si="54"/>
        <v>52550012</v>
      </c>
      <c r="C1745" s="9" t="str">
        <f>VLOOKUP(B1745,COA!A:B,2,FALSE)</f>
        <v>Janitorial - Pumping</v>
      </c>
      <c r="D1745" s="338" t="str">
        <f t="shared" si="55"/>
        <v>C6751</v>
      </c>
      <c r="E1745" s="338" t="s">
        <v>6900</v>
      </c>
      <c r="F1745" s="338" t="s">
        <v>6865</v>
      </c>
      <c r="G1745" s="338" t="s">
        <v>7144</v>
      </c>
      <c r="H1745" s="204" t="s">
        <v>77</v>
      </c>
      <c r="I1745" s="204" t="s">
        <v>7479</v>
      </c>
    </row>
    <row r="1746" spans="1:10" x14ac:dyDescent="0.25">
      <c r="A1746" s="204" t="s">
        <v>1799</v>
      </c>
      <c r="B1746" s="9" t="str">
        <f t="shared" si="54"/>
        <v>52550013</v>
      </c>
      <c r="C1746" s="9" t="str">
        <f>VLOOKUP(B1746,COA!A:B,2,FALSE)</f>
        <v>Janitorial - Water Treatment</v>
      </c>
      <c r="D1746" s="338" t="str">
        <f t="shared" si="55"/>
        <v>C6753</v>
      </c>
      <c r="E1746" s="338" t="s">
        <v>6900</v>
      </c>
      <c r="F1746" s="338" t="s">
        <v>9</v>
      </c>
      <c r="G1746" s="338" t="s">
        <v>7144</v>
      </c>
      <c r="H1746" s="204" t="s">
        <v>77</v>
      </c>
      <c r="I1746" s="204" t="s">
        <v>7466</v>
      </c>
    </row>
    <row r="1747" spans="1:10" x14ac:dyDescent="0.25">
      <c r="A1747" s="204" t="s">
        <v>1800</v>
      </c>
      <c r="B1747" s="9" t="str">
        <f t="shared" si="54"/>
        <v>52550014</v>
      </c>
      <c r="C1747" s="9" t="str">
        <f>VLOOKUP(B1747,COA!A:B,2,FALSE)</f>
        <v>Janitorial - Transmission &amp; Distribution</v>
      </c>
      <c r="D1747" s="338" t="str">
        <f t="shared" si="55"/>
        <v>C6755</v>
      </c>
      <c r="E1747" s="338" t="s">
        <v>6900</v>
      </c>
      <c r="F1747" s="338" t="s">
        <v>6978</v>
      </c>
      <c r="G1747" s="338" t="s">
        <v>7144</v>
      </c>
      <c r="H1747" s="204" t="s">
        <v>77</v>
      </c>
      <c r="I1747" s="204" t="s">
        <v>7480</v>
      </c>
    </row>
    <row r="1748" spans="1:10" x14ac:dyDescent="0.25">
      <c r="A1748" s="204" t="s">
        <v>1801</v>
      </c>
      <c r="B1748" s="9" t="str">
        <f t="shared" si="54"/>
        <v>52550015</v>
      </c>
      <c r="C1748" s="9" t="str">
        <f>VLOOKUP(B1748,COA!A:B,2,FALSE)</f>
        <v>Janitorial - Customer Accounting</v>
      </c>
      <c r="D1748" s="338" t="str">
        <f t="shared" si="55"/>
        <v>C6757</v>
      </c>
      <c r="E1748" s="338" t="s">
        <v>6900</v>
      </c>
      <c r="F1748" s="338" t="s">
        <v>6958</v>
      </c>
      <c r="G1748" s="338" t="s">
        <v>7144</v>
      </c>
      <c r="H1748" s="204" t="s">
        <v>77</v>
      </c>
      <c r="I1748" s="204" t="s">
        <v>7481</v>
      </c>
    </row>
    <row r="1749" spans="1:10" x14ac:dyDescent="0.25">
      <c r="A1749" s="204" t="s">
        <v>1802</v>
      </c>
      <c r="B1749" s="9" t="str">
        <f t="shared" si="54"/>
        <v>52550016</v>
      </c>
      <c r="C1749" s="9" t="str">
        <f>VLOOKUP(B1749,COA!A:B,2,FALSE)</f>
        <v>Janitorial - Admin &amp; General</v>
      </c>
      <c r="D1749" s="338" t="str">
        <f t="shared" si="55"/>
        <v>C6758</v>
      </c>
      <c r="E1749" s="338" t="s">
        <v>6900</v>
      </c>
      <c r="F1749" s="338" t="s">
        <v>6866</v>
      </c>
      <c r="G1749" s="338" t="s">
        <v>7144</v>
      </c>
      <c r="H1749" s="204" t="s">
        <v>77</v>
      </c>
      <c r="I1749" s="204" t="s">
        <v>7465</v>
      </c>
    </row>
    <row r="1750" spans="1:10" x14ac:dyDescent="0.25">
      <c r="A1750" s="204" t="s">
        <v>1803</v>
      </c>
      <c r="B1750" s="9" t="str">
        <f t="shared" si="54"/>
        <v>52554500</v>
      </c>
      <c r="C1750" s="9" t="str">
        <f>VLOOKUP(B1750,COA!A:B,2,FALSE)</f>
        <v>Lab Supplies</v>
      </c>
      <c r="D1750" s="338" t="str">
        <f t="shared" si="55"/>
        <v>C6753</v>
      </c>
      <c r="E1750" s="338" t="s">
        <v>6900</v>
      </c>
      <c r="F1750" s="338" t="s">
        <v>9</v>
      </c>
      <c r="G1750" s="338" t="s">
        <v>7</v>
      </c>
      <c r="H1750" s="204" t="s">
        <v>77</v>
      </c>
      <c r="I1750" s="204" t="s">
        <v>7466</v>
      </c>
      <c r="J1750" s="205"/>
    </row>
    <row r="1751" spans="1:10" x14ac:dyDescent="0.25">
      <c r="A1751" s="204" t="s">
        <v>1804</v>
      </c>
      <c r="B1751" s="9" t="str">
        <f t="shared" si="54"/>
        <v>52556000</v>
      </c>
      <c r="C1751" s="9" t="str">
        <f>VLOOKUP(B1751,COA!A:B,2,FALSE)</f>
        <v>Lobbying Expenses</v>
      </c>
      <c r="D1751" s="338" t="str">
        <f t="shared" si="55"/>
        <v>C6758</v>
      </c>
      <c r="E1751" s="338" t="s">
        <v>6900</v>
      </c>
      <c r="F1751" s="338" t="s">
        <v>6866</v>
      </c>
      <c r="G1751" s="338" t="s">
        <v>7</v>
      </c>
      <c r="H1751" s="204" t="s">
        <v>77</v>
      </c>
      <c r="I1751" s="204" t="s">
        <v>7465</v>
      </c>
    </row>
    <row r="1752" spans="1:10" x14ac:dyDescent="0.25">
      <c r="A1752" s="204" t="s">
        <v>1805</v>
      </c>
      <c r="B1752" s="9" t="str">
        <f t="shared" si="54"/>
        <v>52556500</v>
      </c>
      <c r="C1752" s="9" t="str">
        <f>VLOOKUP(B1752,COA!A:B,2,FALSE)</f>
        <v>Low Income Pay Program</v>
      </c>
      <c r="D1752" s="338" t="str">
        <f t="shared" si="55"/>
        <v>C6758</v>
      </c>
      <c r="E1752" s="338" t="s">
        <v>6900</v>
      </c>
      <c r="F1752" s="338" t="s">
        <v>6866</v>
      </c>
      <c r="G1752" s="338" t="s">
        <v>7</v>
      </c>
      <c r="H1752" s="204" t="s">
        <v>77</v>
      </c>
      <c r="I1752" s="204" t="s">
        <v>7465</v>
      </c>
    </row>
    <row r="1753" spans="1:10" x14ac:dyDescent="0.25">
      <c r="A1753" s="204" t="s">
        <v>1806</v>
      </c>
      <c r="B1753" s="9" t="str">
        <f t="shared" si="54"/>
        <v>52562000</v>
      </c>
      <c r="C1753" s="9" t="str">
        <f>VLOOKUP(B1753,COA!A:B,2,FALSE)</f>
        <v>Office &amp; Admin Supplies - Natural Account</v>
      </c>
      <c r="D1753" s="338" t="str">
        <f t="shared" si="55"/>
        <v>C6758</v>
      </c>
      <c r="E1753" s="338" t="s">
        <v>6900</v>
      </c>
      <c r="F1753" s="338" t="s">
        <v>6866</v>
      </c>
      <c r="G1753" s="338" t="s">
        <v>7144</v>
      </c>
      <c r="H1753" s="204" t="s">
        <v>77</v>
      </c>
      <c r="I1753" s="204" t="s">
        <v>7465</v>
      </c>
    </row>
    <row r="1754" spans="1:10" x14ac:dyDescent="0.25">
      <c r="A1754" s="204" t="s">
        <v>1807</v>
      </c>
      <c r="B1754" s="9" t="str">
        <f t="shared" si="54"/>
        <v>52562011</v>
      </c>
      <c r="C1754" s="9" t="str">
        <f>VLOOKUP(B1754,COA!A:B,2,FALSE)</f>
        <v>Office &amp; Admin Supplies - Source of Supply</v>
      </c>
      <c r="D1754" s="338" t="str">
        <f t="shared" si="55"/>
        <v>C6751</v>
      </c>
      <c r="E1754" s="338" t="s">
        <v>6900</v>
      </c>
      <c r="F1754" s="338" t="s">
        <v>23</v>
      </c>
      <c r="G1754" s="338" t="s">
        <v>7144</v>
      </c>
      <c r="H1754" s="204" t="s">
        <v>77</v>
      </c>
      <c r="I1754" s="204" t="s">
        <v>7479</v>
      </c>
    </row>
    <row r="1755" spans="1:10" x14ac:dyDescent="0.25">
      <c r="A1755" s="204" t="s">
        <v>1808</v>
      </c>
      <c r="B1755" s="9" t="str">
        <f t="shared" si="54"/>
        <v>52562013</v>
      </c>
      <c r="C1755" s="9" t="str">
        <f>VLOOKUP(B1755,COA!A:B,2,FALSE)</f>
        <v>Office &amp; Admin Supplies - Water Treatment</v>
      </c>
      <c r="D1755" s="338" t="str">
        <f t="shared" si="55"/>
        <v>C6753</v>
      </c>
      <c r="E1755" s="338" t="s">
        <v>6900</v>
      </c>
      <c r="F1755" s="338" t="s">
        <v>9</v>
      </c>
      <c r="G1755" s="338" t="s">
        <v>7144</v>
      </c>
      <c r="H1755" s="204" t="s">
        <v>77</v>
      </c>
      <c r="I1755" s="204" t="s">
        <v>7466</v>
      </c>
      <c r="J1755" s="205"/>
    </row>
    <row r="1756" spans="1:10" x14ac:dyDescent="0.25">
      <c r="A1756" s="204" t="s">
        <v>1809</v>
      </c>
      <c r="B1756" s="9" t="str">
        <f t="shared" si="54"/>
        <v>52562014</v>
      </c>
      <c r="C1756" s="9" t="str">
        <f>VLOOKUP(B1756,COA!A:B,2,FALSE)</f>
        <v>Office &amp; Admin Supplies - Transmssn &amp; Distr</v>
      </c>
      <c r="D1756" s="338" t="str">
        <f t="shared" si="55"/>
        <v>C6755</v>
      </c>
      <c r="E1756" s="338" t="s">
        <v>6900</v>
      </c>
      <c r="F1756" s="338" t="s">
        <v>6978</v>
      </c>
      <c r="G1756" s="338" t="s">
        <v>7144</v>
      </c>
      <c r="H1756" s="204" t="s">
        <v>77</v>
      </c>
      <c r="I1756" s="204" t="s">
        <v>7480</v>
      </c>
    </row>
    <row r="1757" spans="1:10" x14ac:dyDescent="0.25">
      <c r="A1757" s="204" t="s">
        <v>1810</v>
      </c>
      <c r="B1757" s="9" t="str">
        <f t="shared" si="54"/>
        <v>52562015</v>
      </c>
      <c r="C1757" s="9" t="str">
        <f>VLOOKUP(B1757,COA!A:B,2,FALSE)</f>
        <v>Office &amp; Admin Supplies - Customer Accounting</v>
      </c>
      <c r="D1757" s="338" t="str">
        <f t="shared" si="55"/>
        <v>C6757</v>
      </c>
      <c r="E1757" s="338" t="s">
        <v>6900</v>
      </c>
      <c r="F1757" s="338" t="s">
        <v>6958</v>
      </c>
      <c r="G1757" s="338" t="s">
        <v>7144</v>
      </c>
      <c r="H1757" s="204" t="s">
        <v>77</v>
      </c>
      <c r="I1757" s="204" t="s">
        <v>7481</v>
      </c>
    </row>
    <row r="1758" spans="1:10" x14ac:dyDescent="0.25">
      <c r="A1758" s="204" t="s">
        <v>1811</v>
      </c>
      <c r="B1758" s="9" t="str">
        <f t="shared" si="54"/>
        <v>52562016</v>
      </c>
      <c r="C1758" s="9" t="str">
        <f>VLOOKUP(B1758,COA!A:B,2,FALSE)</f>
        <v>Office &amp; Admin Supplies - Admin &amp; General</v>
      </c>
      <c r="D1758" s="338" t="str">
        <f t="shared" si="55"/>
        <v>C6758</v>
      </c>
      <c r="E1758" s="338" t="s">
        <v>6900</v>
      </c>
      <c r="F1758" s="338" t="s">
        <v>6866</v>
      </c>
      <c r="G1758" s="338" t="s">
        <v>7144</v>
      </c>
      <c r="H1758" s="204" t="s">
        <v>77</v>
      </c>
      <c r="I1758" s="204" t="s">
        <v>7465</v>
      </c>
    </row>
    <row r="1759" spans="1:10" x14ac:dyDescent="0.25">
      <c r="A1759" s="204" t="s">
        <v>1812</v>
      </c>
      <c r="B1759" s="9" t="str">
        <f t="shared" si="54"/>
        <v>52562500</v>
      </c>
      <c r="C1759" s="9" t="str">
        <f>VLOOKUP(B1759,COA!A:B,2,FALSE)</f>
        <v>Overnight Shipping - Natural Account</v>
      </c>
      <c r="D1759" s="338" t="str">
        <f t="shared" si="55"/>
        <v>C6758</v>
      </c>
      <c r="E1759" s="338" t="s">
        <v>6900</v>
      </c>
      <c r="G1759" s="338" t="s">
        <v>15</v>
      </c>
      <c r="H1759" s="204" t="s">
        <v>77</v>
      </c>
      <c r="I1759" s="204" t="s">
        <v>7465</v>
      </c>
    </row>
    <row r="1760" spans="1:10" x14ac:dyDescent="0.25">
      <c r="A1760" s="204" t="s">
        <v>1813</v>
      </c>
      <c r="B1760" s="9" t="str">
        <f t="shared" si="54"/>
        <v>52562511</v>
      </c>
      <c r="C1760" s="9" t="str">
        <f>VLOOKUP(B1760,COA!A:B,2,FALSE)</f>
        <v>Overnight Shipping - Source of Supply</v>
      </c>
      <c r="D1760" s="338" t="str">
        <f t="shared" si="55"/>
        <v>C6751</v>
      </c>
      <c r="E1760" s="338" t="s">
        <v>6900</v>
      </c>
      <c r="F1760" s="338" t="s">
        <v>23</v>
      </c>
      <c r="G1760" s="338" t="s">
        <v>15</v>
      </c>
      <c r="H1760" s="204" t="s">
        <v>77</v>
      </c>
      <c r="I1760" s="204" t="s">
        <v>7479</v>
      </c>
    </row>
    <row r="1761" spans="1:10" x14ac:dyDescent="0.25">
      <c r="A1761" s="204" t="s">
        <v>1814</v>
      </c>
      <c r="B1761" s="9" t="str">
        <f t="shared" si="54"/>
        <v>52562513</v>
      </c>
      <c r="C1761" s="9" t="str">
        <f>VLOOKUP(B1761,COA!A:B,2,FALSE)</f>
        <v>Overnight Shipping - Water Treatment</v>
      </c>
      <c r="D1761" s="338" t="str">
        <f t="shared" si="55"/>
        <v>C6753</v>
      </c>
      <c r="E1761" s="338" t="s">
        <v>6900</v>
      </c>
      <c r="F1761" s="338" t="s">
        <v>9</v>
      </c>
      <c r="G1761" s="338" t="s">
        <v>15</v>
      </c>
      <c r="H1761" s="204" t="s">
        <v>77</v>
      </c>
      <c r="I1761" s="204" t="s">
        <v>7466</v>
      </c>
    </row>
    <row r="1762" spans="1:10" x14ac:dyDescent="0.25">
      <c r="A1762" s="204" t="s">
        <v>1815</v>
      </c>
      <c r="B1762" s="9" t="str">
        <f t="shared" si="54"/>
        <v>52562514</v>
      </c>
      <c r="C1762" s="9" t="str">
        <f>VLOOKUP(B1762,COA!A:B,2,FALSE)</f>
        <v>Overnight Shipping - Transmission &amp; Distribution</v>
      </c>
      <c r="D1762" s="338" t="str">
        <f t="shared" si="55"/>
        <v>C6755</v>
      </c>
      <c r="E1762" s="338" t="s">
        <v>6900</v>
      </c>
      <c r="F1762" s="338" t="s">
        <v>6978</v>
      </c>
      <c r="G1762" s="338" t="s">
        <v>15</v>
      </c>
      <c r="H1762" s="204" t="s">
        <v>77</v>
      </c>
      <c r="I1762" s="204" t="s">
        <v>7480</v>
      </c>
      <c r="J1762" s="205"/>
    </row>
    <row r="1763" spans="1:10" x14ac:dyDescent="0.25">
      <c r="A1763" s="204" t="s">
        <v>1816</v>
      </c>
      <c r="B1763" s="9" t="str">
        <f t="shared" si="54"/>
        <v>52562515</v>
      </c>
      <c r="C1763" s="9" t="str">
        <f>VLOOKUP(B1763,COA!A:B,2,FALSE)</f>
        <v>Overnight Shipping - Customer Accounting</v>
      </c>
      <c r="D1763" s="338" t="str">
        <f t="shared" si="55"/>
        <v>C6757</v>
      </c>
      <c r="E1763" s="338" t="s">
        <v>6900</v>
      </c>
      <c r="F1763" s="338" t="s">
        <v>6958</v>
      </c>
      <c r="G1763" s="338" t="s">
        <v>15</v>
      </c>
      <c r="H1763" s="204" t="s">
        <v>77</v>
      </c>
      <c r="I1763" s="204" t="s">
        <v>7481</v>
      </c>
    </row>
    <row r="1764" spans="1:10" x14ac:dyDescent="0.25">
      <c r="A1764" s="204" t="s">
        <v>1817</v>
      </c>
      <c r="B1764" s="9" t="str">
        <f t="shared" si="54"/>
        <v>52562516</v>
      </c>
      <c r="C1764" s="9" t="str">
        <f>VLOOKUP(B1764,COA!A:B,2,FALSE)</f>
        <v>Overnight Shipping - Admin &amp; General</v>
      </c>
      <c r="D1764" s="338" t="str">
        <f t="shared" si="55"/>
        <v>C6758</v>
      </c>
      <c r="E1764" s="338" t="s">
        <v>6900</v>
      </c>
      <c r="F1764" s="338" t="s">
        <v>6866</v>
      </c>
      <c r="G1764" s="338" t="s">
        <v>15</v>
      </c>
      <c r="H1764" s="204" t="s">
        <v>77</v>
      </c>
      <c r="I1764" s="204" t="s">
        <v>7465</v>
      </c>
    </row>
    <row r="1765" spans="1:10" x14ac:dyDescent="0.25">
      <c r="A1765" s="204" t="s">
        <v>1818</v>
      </c>
      <c r="B1765" s="9" t="str">
        <f t="shared" si="54"/>
        <v>52564000</v>
      </c>
      <c r="C1765" s="9" t="str">
        <f>VLOOKUP(B1765,COA!A:B,2,FALSE)</f>
        <v>Penalties Nondeductible</v>
      </c>
      <c r="D1765" s="338" t="str">
        <f t="shared" si="55"/>
        <v>C6758</v>
      </c>
      <c r="E1765" s="338" t="s">
        <v>6900</v>
      </c>
      <c r="F1765" s="338" t="s">
        <v>6866</v>
      </c>
      <c r="G1765" s="338" t="s">
        <v>7</v>
      </c>
      <c r="H1765" s="204" t="s">
        <v>77</v>
      </c>
      <c r="I1765" s="204" t="s">
        <v>7465</v>
      </c>
    </row>
    <row r="1766" spans="1:10" x14ac:dyDescent="0.25">
      <c r="A1766" s="204" t="s">
        <v>1819</v>
      </c>
      <c r="B1766" s="9" t="str">
        <f t="shared" si="54"/>
        <v>52566000</v>
      </c>
      <c r="C1766" s="9" t="str">
        <f>VLOOKUP(B1766,COA!A:B,2,FALSE)</f>
        <v>Postage - Natural Account</v>
      </c>
      <c r="D1766" s="338" t="str">
        <f t="shared" si="55"/>
        <v>C6758</v>
      </c>
      <c r="E1766" s="338" t="s">
        <v>6900</v>
      </c>
      <c r="G1766" s="338" t="s">
        <v>15</v>
      </c>
      <c r="H1766" s="204" t="s">
        <v>77</v>
      </c>
      <c r="I1766" s="204" t="s">
        <v>7465</v>
      </c>
    </row>
    <row r="1767" spans="1:10" x14ac:dyDescent="0.25">
      <c r="A1767" s="204" t="s">
        <v>1820</v>
      </c>
      <c r="B1767" s="9" t="str">
        <f t="shared" si="54"/>
        <v>52566015</v>
      </c>
      <c r="C1767" s="9" t="str">
        <f>VLOOKUP(B1767,COA!A:B,2,FALSE)</f>
        <v>Postage - Customer Accounting</v>
      </c>
      <c r="D1767" s="338" t="str">
        <f t="shared" si="55"/>
        <v>C6757</v>
      </c>
      <c r="E1767" s="338" t="s">
        <v>6900</v>
      </c>
      <c r="F1767" s="338" t="s">
        <v>6958</v>
      </c>
      <c r="G1767" s="338" t="s">
        <v>15</v>
      </c>
      <c r="H1767" s="204" t="s">
        <v>77</v>
      </c>
      <c r="I1767" s="204" t="s">
        <v>7481</v>
      </c>
    </row>
    <row r="1768" spans="1:10" x14ac:dyDescent="0.25">
      <c r="A1768" s="204" t="s">
        <v>1821</v>
      </c>
      <c r="B1768" s="9" t="str">
        <f t="shared" si="54"/>
        <v>52566016</v>
      </c>
      <c r="C1768" s="9" t="str">
        <f>VLOOKUP(B1768,COA!A:B,2,FALSE)</f>
        <v>Postage - Admin &amp; General</v>
      </c>
      <c r="D1768" s="338" t="str">
        <f t="shared" si="55"/>
        <v>C6758</v>
      </c>
      <c r="E1768" s="338" t="s">
        <v>6900</v>
      </c>
      <c r="F1768" s="338" t="s">
        <v>6866</v>
      </c>
      <c r="G1768" s="338" t="s">
        <v>15</v>
      </c>
      <c r="H1768" s="204" t="s">
        <v>77</v>
      </c>
      <c r="I1768" s="204" t="s">
        <v>7465</v>
      </c>
    </row>
    <row r="1769" spans="1:10" x14ac:dyDescent="0.25">
      <c r="A1769" s="204" t="s">
        <v>1822</v>
      </c>
      <c r="B1769" s="9" t="str">
        <f t="shared" si="54"/>
        <v>52566700</v>
      </c>
      <c r="C1769" s="9" t="str">
        <f>VLOOKUP(B1769,COA!A:B,2,FALSE)</f>
        <v>Printing</v>
      </c>
      <c r="D1769" s="338" t="str">
        <f t="shared" si="55"/>
        <v>C6758</v>
      </c>
      <c r="E1769" s="338" t="s">
        <v>6900</v>
      </c>
      <c r="F1769" s="338" t="s">
        <v>6866</v>
      </c>
      <c r="G1769" s="338" t="s">
        <v>15</v>
      </c>
      <c r="H1769" s="204" t="s">
        <v>77</v>
      </c>
      <c r="I1769" s="204" t="s">
        <v>7465</v>
      </c>
    </row>
    <row r="1770" spans="1:10" x14ac:dyDescent="0.25">
      <c r="A1770" s="204" t="s">
        <v>1823</v>
      </c>
      <c r="B1770" s="9" t="str">
        <f t="shared" si="54"/>
        <v>52567000</v>
      </c>
      <c r="C1770" s="9" t="str">
        <f>VLOOKUP(B1770,COA!A:B,2,FALSE)</f>
        <v>Relocation Expenses</v>
      </c>
      <c r="D1770" s="338" t="str">
        <f t="shared" si="55"/>
        <v>C6758</v>
      </c>
      <c r="E1770" s="338" t="s">
        <v>6900</v>
      </c>
      <c r="F1770" s="338" t="s">
        <v>6866</v>
      </c>
      <c r="G1770" s="338" t="s">
        <v>7</v>
      </c>
      <c r="H1770" s="204" t="s">
        <v>77</v>
      </c>
      <c r="I1770" s="204" t="s">
        <v>7465</v>
      </c>
      <c r="J1770" s="205"/>
    </row>
    <row r="1771" spans="1:10" x14ac:dyDescent="0.25">
      <c r="A1771" s="204" t="s">
        <v>1824</v>
      </c>
      <c r="B1771" s="9" t="str">
        <f t="shared" si="54"/>
        <v>52568000</v>
      </c>
      <c r="C1771" s="9" t="str">
        <f>VLOOKUP(B1771,COA!A:B,2,FALSE)</f>
        <v>Research &amp; Development</v>
      </c>
      <c r="D1771" s="338" t="str">
        <f t="shared" si="55"/>
        <v>C6758</v>
      </c>
      <c r="E1771" s="338" t="s">
        <v>6900</v>
      </c>
      <c r="F1771" s="338" t="s">
        <v>6866</v>
      </c>
      <c r="G1771" s="338" t="s">
        <v>7</v>
      </c>
      <c r="H1771" s="204" t="s">
        <v>77</v>
      </c>
      <c r="I1771" s="204" t="s">
        <v>7465</v>
      </c>
    </row>
    <row r="1772" spans="1:10" x14ac:dyDescent="0.25">
      <c r="A1772" s="204" t="s">
        <v>1825</v>
      </c>
      <c r="B1772" s="9" t="str">
        <f t="shared" si="54"/>
        <v>52571000</v>
      </c>
      <c r="C1772" s="9" t="str">
        <f>VLOOKUP(B1772,COA!A:B,2,FALSE)</f>
        <v>Security Service - Natural Account</v>
      </c>
      <c r="D1772" s="338" t="str">
        <f t="shared" si="55"/>
        <v>C6758</v>
      </c>
      <c r="E1772" s="338" t="s">
        <v>6900</v>
      </c>
      <c r="F1772" s="338" t="s">
        <v>6866</v>
      </c>
      <c r="G1772" s="338" t="s">
        <v>7144</v>
      </c>
      <c r="H1772" s="204" t="s">
        <v>77</v>
      </c>
      <c r="I1772" s="204" t="s">
        <v>7465</v>
      </c>
    </row>
    <row r="1773" spans="1:10" x14ac:dyDescent="0.25">
      <c r="A1773" s="204" t="s">
        <v>1826</v>
      </c>
      <c r="B1773" s="9" t="str">
        <f t="shared" si="54"/>
        <v>52571011</v>
      </c>
      <c r="C1773" s="9" t="str">
        <f>VLOOKUP(B1773,COA!A:B,2,FALSE)</f>
        <v>Security Service - Source of Supply</v>
      </c>
      <c r="D1773" s="338" t="str">
        <f t="shared" si="55"/>
        <v>C6751</v>
      </c>
      <c r="E1773" s="338" t="s">
        <v>6900</v>
      </c>
      <c r="F1773" s="338" t="s">
        <v>23</v>
      </c>
      <c r="G1773" s="338" t="s">
        <v>7144</v>
      </c>
      <c r="H1773" s="204" t="s">
        <v>77</v>
      </c>
      <c r="I1773" s="204" t="s">
        <v>7479</v>
      </c>
    </row>
    <row r="1774" spans="1:10" x14ac:dyDescent="0.25">
      <c r="A1774" s="204" t="s">
        <v>1827</v>
      </c>
      <c r="B1774" s="9" t="str">
        <f t="shared" ref="B1774:B1837" si="56">RIGHT(A1774,8)</f>
        <v>52571013</v>
      </c>
      <c r="C1774" s="9" t="str">
        <f>VLOOKUP(B1774,COA!A:B,2,FALSE)</f>
        <v>Security Service - Water Treatment</v>
      </c>
      <c r="D1774" s="338" t="str">
        <f t="shared" si="55"/>
        <v>C6753</v>
      </c>
      <c r="E1774" s="338" t="s">
        <v>6900</v>
      </c>
      <c r="F1774" s="338" t="s">
        <v>9</v>
      </c>
      <c r="G1774" s="338" t="s">
        <v>7144</v>
      </c>
      <c r="H1774" s="204" t="s">
        <v>77</v>
      </c>
      <c r="I1774" s="204" t="s">
        <v>7466</v>
      </c>
    </row>
    <row r="1775" spans="1:10" x14ac:dyDescent="0.25">
      <c r="A1775" s="204" t="s">
        <v>1828</v>
      </c>
      <c r="B1775" s="9" t="str">
        <f t="shared" si="56"/>
        <v>52571014</v>
      </c>
      <c r="C1775" s="9" t="str">
        <f>VLOOKUP(B1775,COA!A:B,2,FALSE)</f>
        <v>Security Service - Transmission &amp; Distribution</v>
      </c>
      <c r="D1775" s="338" t="str">
        <f t="shared" si="55"/>
        <v>C6755</v>
      </c>
      <c r="E1775" s="338" t="s">
        <v>6900</v>
      </c>
      <c r="F1775" s="338" t="s">
        <v>6978</v>
      </c>
      <c r="G1775" s="338" t="s">
        <v>7144</v>
      </c>
      <c r="H1775" s="204" t="s">
        <v>77</v>
      </c>
      <c r="I1775" s="204" t="s">
        <v>7480</v>
      </c>
    </row>
    <row r="1776" spans="1:10" x14ac:dyDescent="0.25">
      <c r="A1776" s="204" t="s">
        <v>1829</v>
      </c>
      <c r="B1776" s="9" t="str">
        <f t="shared" si="56"/>
        <v>52571015</v>
      </c>
      <c r="C1776" s="9" t="str">
        <f>VLOOKUP(B1776,COA!A:B,2,FALSE)</f>
        <v>Security Service - Customer Accounting</v>
      </c>
      <c r="D1776" s="338" t="str">
        <f t="shared" si="55"/>
        <v>C6757</v>
      </c>
      <c r="E1776" s="338" t="s">
        <v>6900</v>
      </c>
      <c r="F1776" s="338" t="s">
        <v>6958</v>
      </c>
      <c r="G1776" s="338" t="s">
        <v>7144</v>
      </c>
      <c r="H1776" s="204" t="s">
        <v>77</v>
      </c>
      <c r="I1776" s="204" t="s">
        <v>7481</v>
      </c>
      <c r="J1776" s="205"/>
    </row>
    <row r="1777" spans="1:10" x14ac:dyDescent="0.25">
      <c r="A1777" s="204" t="s">
        <v>1830</v>
      </c>
      <c r="B1777" s="9" t="str">
        <f t="shared" si="56"/>
        <v>52571016</v>
      </c>
      <c r="C1777" s="9" t="str">
        <f>VLOOKUP(B1777,COA!A:B,2,FALSE)</f>
        <v>Security Service - Admin &amp; General</v>
      </c>
      <c r="D1777" s="338" t="str">
        <f t="shared" si="55"/>
        <v>C6758</v>
      </c>
      <c r="E1777" s="338" t="s">
        <v>6900</v>
      </c>
      <c r="F1777" s="338" t="s">
        <v>6866</v>
      </c>
      <c r="G1777" s="338" t="s">
        <v>7144</v>
      </c>
      <c r="H1777" s="204" t="s">
        <v>77</v>
      </c>
      <c r="I1777" s="204" t="s">
        <v>7465</v>
      </c>
    </row>
    <row r="1778" spans="1:10" x14ac:dyDescent="0.25">
      <c r="A1778" s="204" t="s">
        <v>1831</v>
      </c>
      <c r="B1778" s="9" t="str">
        <f t="shared" si="56"/>
        <v>52571100</v>
      </c>
      <c r="C1778" s="9" t="str">
        <f>VLOOKUP(B1778,COA!A:B,2,FALSE)</f>
        <v>Add'l Security Costs</v>
      </c>
      <c r="D1778" s="338" t="str">
        <f t="shared" si="55"/>
        <v>C6758</v>
      </c>
      <c r="E1778" s="338" t="s">
        <v>6900</v>
      </c>
      <c r="F1778" s="338" t="s">
        <v>6866</v>
      </c>
      <c r="G1778" s="338" t="s">
        <v>7144</v>
      </c>
      <c r="H1778" s="204" t="s">
        <v>77</v>
      </c>
      <c r="I1778" s="204" t="s">
        <v>7465</v>
      </c>
    </row>
    <row r="1779" spans="1:10" x14ac:dyDescent="0.25">
      <c r="A1779" s="204" t="s">
        <v>1832</v>
      </c>
      <c r="B1779" s="9" t="str">
        <f t="shared" si="56"/>
        <v>52571500</v>
      </c>
      <c r="C1779" s="9" t="str">
        <f>VLOOKUP(B1779,COA!A:B,2,FALSE)</f>
        <v>Software Licenses</v>
      </c>
      <c r="D1779" s="338" t="str">
        <f t="shared" si="55"/>
        <v>C6758</v>
      </c>
      <c r="E1779" s="338" t="s">
        <v>6900</v>
      </c>
      <c r="F1779" s="338" t="s">
        <v>6866</v>
      </c>
      <c r="G1779" s="338" t="s">
        <v>7</v>
      </c>
      <c r="H1779" s="204" t="s">
        <v>77</v>
      </c>
      <c r="I1779" s="204" t="s">
        <v>7465</v>
      </c>
    </row>
    <row r="1780" spans="1:10" x14ac:dyDescent="0.25">
      <c r="A1780" s="204" t="s">
        <v>1833</v>
      </c>
      <c r="B1780" s="9" t="str">
        <f t="shared" si="56"/>
        <v>52572000</v>
      </c>
      <c r="C1780" s="9" t="str">
        <f>VLOOKUP(B1780,COA!A:B,2,FALSE)</f>
        <v>Telemetering - Source of Supply</v>
      </c>
      <c r="D1780" s="338" t="str">
        <f t="shared" si="55"/>
        <v>C6751</v>
      </c>
      <c r="E1780" s="338" t="s">
        <v>6900</v>
      </c>
      <c r="F1780" s="338" t="s">
        <v>23</v>
      </c>
      <c r="G1780" s="338" t="s">
        <v>6882</v>
      </c>
      <c r="H1780" s="204" t="s">
        <v>77</v>
      </c>
      <c r="I1780" s="204" t="s">
        <v>7479</v>
      </c>
    </row>
    <row r="1781" spans="1:10" x14ac:dyDescent="0.25">
      <c r="A1781" s="204" t="s">
        <v>1834</v>
      </c>
      <c r="B1781" s="9" t="str">
        <f t="shared" si="56"/>
        <v>52574000</v>
      </c>
      <c r="C1781" s="9" t="str">
        <f>VLOOKUP(B1781,COA!A:B,2,FALSE)</f>
        <v>Telephone - Natural Account</v>
      </c>
      <c r="D1781" s="338" t="str">
        <f t="shared" si="55"/>
        <v>C6758</v>
      </c>
      <c r="E1781" s="338" t="s">
        <v>6900</v>
      </c>
      <c r="F1781" s="338" t="s">
        <v>6866</v>
      </c>
      <c r="G1781" s="338" t="s">
        <v>6882</v>
      </c>
      <c r="H1781" s="204" t="s">
        <v>77</v>
      </c>
      <c r="I1781" s="204" t="s">
        <v>7465</v>
      </c>
    </row>
    <row r="1782" spans="1:10" x14ac:dyDescent="0.25">
      <c r="A1782" s="204" t="s">
        <v>1835</v>
      </c>
      <c r="B1782" s="9" t="str">
        <f t="shared" si="56"/>
        <v>52574011</v>
      </c>
      <c r="C1782" s="9" t="str">
        <f>VLOOKUP(B1782,COA!A:B,2,FALSE)</f>
        <v>Telephone - Source of Supply</v>
      </c>
      <c r="D1782" s="338" t="str">
        <f t="shared" si="55"/>
        <v>C6751</v>
      </c>
      <c r="E1782" s="338" t="s">
        <v>6900</v>
      </c>
      <c r="F1782" s="338" t="s">
        <v>23</v>
      </c>
      <c r="G1782" s="338" t="s">
        <v>6882</v>
      </c>
      <c r="H1782" s="204" t="s">
        <v>77</v>
      </c>
      <c r="I1782" s="204" t="s">
        <v>7479</v>
      </c>
    </row>
    <row r="1783" spans="1:10" x14ac:dyDescent="0.25">
      <c r="A1783" s="204" t="s">
        <v>1836</v>
      </c>
      <c r="B1783" s="9" t="str">
        <f t="shared" si="56"/>
        <v>52574013</v>
      </c>
      <c r="C1783" s="9" t="str">
        <f>VLOOKUP(B1783,COA!A:B,2,FALSE)</f>
        <v>Telephone - Water Treatment</v>
      </c>
      <c r="D1783" s="338" t="str">
        <f t="shared" si="55"/>
        <v>C6753</v>
      </c>
      <c r="E1783" s="338" t="s">
        <v>6900</v>
      </c>
      <c r="F1783" s="338" t="s">
        <v>9</v>
      </c>
      <c r="G1783" s="338" t="s">
        <v>6882</v>
      </c>
      <c r="H1783" s="204" t="s">
        <v>77</v>
      </c>
      <c r="I1783" s="204" t="s">
        <v>7466</v>
      </c>
    </row>
    <row r="1784" spans="1:10" x14ac:dyDescent="0.25">
      <c r="A1784" s="204" t="s">
        <v>1837</v>
      </c>
      <c r="B1784" s="9" t="str">
        <f t="shared" si="56"/>
        <v>52574014</v>
      </c>
      <c r="C1784" s="9" t="str">
        <f>VLOOKUP(B1784,COA!A:B,2,FALSE)</f>
        <v>Telephone - Transmission &amp; Distribution</v>
      </c>
      <c r="D1784" s="338" t="str">
        <f t="shared" si="55"/>
        <v>C6755</v>
      </c>
      <c r="E1784" s="338" t="s">
        <v>6900</v>
      </c>
      <c r="F1784" s="338" t="s">
        <v>6978</v>
      </c>
      <c r="G1784" s="338" t="s">
        <v>6882</v>
      </c>
      <c r="H1784" s="204" t="s">
        <v>77</v>
      </c>
      <c r="I1784" s="204" t="s">
        <v>7480</v>
      </c>
    </row>
    <row r="1785" spans="1:10" x14ac:dyDescent="0.25">
      <c r="A1785" s="204" t="s">
        <v>1838</v>
      </c>
      <c r="B1785" s="9" t="str">
        <f t="shared" si="56"/>
        <v>52574015</v>
      </c>
      <c r="C1785" s="9" t="str">
        <f>VLOOKUP(B1785,COA!A:B,2,FALSE)</f>
        <v>Telephone - Customer Accounting</v>
      </c>
      <c r="D1785" s="338" t="str">
        <f t="shared" si="55"/>
        <v>C6757</v>
      </c>
      <c r="E1785" s="338" t="s">
        <v>6900</v>
      </c>
      <c r="F1785" s="338" t="s">
        <v>6958</v>
      </c>
      <c r="G1785" s="338" t="s">
        <v>6882</v>
      </c>
      <c r="H1785" s="204" t="s">
        <v>77</v>
      </c>
      <c r="I1785" s="204" t="s">
        <v>7481</v>
      </c>
    </row>
    <row r="1786" spans="1:10" x14ac:dyDescent="0.25">
      <c r="A1786" s="204" t="s">
        <v>1839</v>
      </c>
      <c r="B1786" s="9" t="str">
        <f t="shared" si="56"/>
        <v>52574016</v>
      </c>
      <c r="C1786" s="9" t="str">
        <f>VLOOKUP(B1786,COA!A:B,2,FALSE)</f>
        <v>Telephone - Admin &amp; General</v>
      </c>
      <c r="D1786" s="338" t="str">
        <f t="shared" si="55"/>
        <v>C6758</v>
      </c>
      <c r="E1786" s="338" t="s">
        <v>6900</v>
      </c>
      <c r="F1786" s="338" t="s">
        <v>6866</v>
      </c>
      <c r="G1786" s="338" t="s">
        <v>6882</v>
      </c>
      <c r="H1786" s="204" t="s">
        <v>77</v>
      </c>
      <c r="I1786" s="204" t="s">
        <v>7465</v>
      </c>
    </row>
    <row r="1787" spans="1:10" x14ac:dyDescent="0.25">
      <c r="A1787" s="204" t="s">
        <v>1840</v>
      </c>
      <c r="B1787" s="9" t="str">
        <f t="shared" si="56"/>
        <v>52574100</v>
      </c>
      <c r="C1787" s="9" t="str">
        <f>VLOOKUP(B1787,COA!A:B,2,FALSE)</f>
        <v>Cell Phone - Natural Account</v>
      </c>
      <c r="D1787" s="338" t="str">
        <f t="shared" si="55"/>
        <v>C6758</v>
      </c>
      <c r="E1787" s="338" t="s">
        <v>6900</v>
      </c>
      <c r="F1787" s="338" t="s">
        <v>6866</v>
      </c>
      <c r="G1787" s="338" t="s">
        <v>6882</v>
      </c>
      <c r="H1787" s="204" t="s">
        <v>77</v>
      </c>
      <c r="I1787" s="204" t="s">
        <v>7465</v>
      </c>
    </row>
    <row r="1788" spans="1:10" x14ac:dyDescent="0.25">
      <c r="A1788" s="204" t="s">
        <v>1841</v>
      </c>
      <c r="B1788" s="9" t="str">
        <f t="shared" si="56"/>
        <v>52574111</v>
      </c>
      <c r="C1788" s="9" t="str">
        <f>VLOOKUP(B1788,COA!A:B,2,FALSE)</f>
        <v>Cell Phone - Source of Supply</v>
      </c>
      <c r="D1788" s="338" t="str">
        <f t="shared" si="55"/>
        <v>C6751</v>
      </c>
      <c r="E1788" s="338" t="s">
        <v>6900</v>
      </c>
      <c r="F1788" s="338" t="s">
        <v>23</v>
      </c>
      <c r="G1788" s="338" t="s">
        <v>6882</v>
      </c>
      <c r="H1788" s="204" t="s">
        <v>77</v>
      </c>
      <c r="I1788" s="204" t="s">
        <v>7479</v>
      </c>
    </row>
    <row r="1789" spans="1:10" x14ac:dyDescent="0.25">
      <c r="A1789" s="204" t="s">
        <v>1842</v>
      </c>
      <c r="B1789" s="9" t="str">
        <f t="shared" si="56"/>
        <v>52574113</v>
      </c>
      <c r="C1789" s="9" t="str">
        <f>VLOOKUP(B1789,COA!A:B,2,FALSE)</f>
        <v>Cell Phone - Water Treatment</v>
      </c>
      <c r="D1789" s="338" t="str">
        <f t="shared" si="55"/>
        <v>C6753</v>
      </c>
      <c r="E1789" s="338" t="s">
        <v>6900</v>
      </c>
      <c r="F1789" s="338" t="s">
        <v>9</v>
      </c>
      <c r="G1789" s="338" t="s">
        <v>6882</v>
      </c>
      <c r="H1789" s="204" t="s">
        <v>77</v>
      </c>
      <c r="I1789" s="204" t="s">
        <v>7466</v>
      </c>
    </row>
    <row r="1790" spans="1:10" x14ac:dyDescent="0.25">
      <c r="A1790" s="204" t="s">
        <v>1843</v>
      </c>
      <c r="B1790" s="9" t="str">
        <f t="shared" si="56"/>
        <v>52574114</v>
      </c>
      <c r="C1790" s="9" t="str">
        <f>VLOOKUP(B1790,COA!A:B,2,FALSE)</f>
        <v>Cell Phone - Transmission &amp; Distribution</v>
      </c>
      <c r="D1790" s="338" t="str">
        <f t="shared" si="55"/>
        <v>C6755</v>
      </c>
      <c r="E1790" s="338" t="s">
        <v>6900</v>
      </c>
      <c r="F1790" s="338" t="s">
        <v>6978</v>
      </c>
      <c r="G1790" s="338" t="s">
        <v>6882</v>
      </c>
      <c r="H1790" s="204" t="s">
        <v>77</v>
      </c>
      <c r="I1790" s="204" t="s">
        <v>7480</v>
      </c>
    </row>
    <row r="1791" spans="1:10" x14ac:dyDescent="0.25">
      <c r="A1791" s="204" t="s">
        <v>1844</v>
      </c>
      <c r="B1791" s="9" t="str">
        <f t="shared" si="56"/>
        <v>52574115</v>
      </c>
      <c r="C1791" s="9" t="str">
        <f>VLOOKUP(B1791,COA!A:B,2,FALSE)</f>
        <v>Cell Phone - Customer Accounting</v>
      </c>
      <c r="D1791" s="338" t="str">
        <f t="shared" si="55"/>
        <v>C6757</v>
      </c>
      <c r="E1791" s="338" t="s">
        <v>6900</v>
      </c>
      <c r="F1791" s="338" t="s">
        <v>6958</v>
      </c>
      <c r="G1791" s="338" t="s">
        <v>6882</v>
      </c>
      <c r="H1791" s="204" t="s">
        <v>77</v>
      </c>
      <c r="I1791" s="204" t="s">
        <v>7481</v>
      </c>
      <c r="J1791" s="205"/>
    </row>
    <row r="1792" spans="1:10" x14ac:dyDescent="0.25">
      <c r="A1792" s="204" t="s">
        <v>1845</v>
      </c>
      <c r="B1792" s="9" t="str">
        <f t="shared" si="56"/>
        <v>52574116</v>
      </c>
      <c r="C1792" s="9" t="str">
        <f>VLOOKUP(B1792,COA!A:B,2,FALSE)</f>
        <v>Cell Phone - Admin &amp; General</v>
      </c>
      <c r="D1792" s="338" t="str">
        <f t="shared" si="55"/>
        <v>C6758</v>
      </c>
      <c r="E1792" s="338" t="s">
        <v>6900</v>
      </c>
      <c r="F1792" s="338" t="s">
        <v>6866</v>
      </c>
      <c r="G1792" s="338" t="s">
        <v>6882</v>
      </c>
      <c r="H1792" s="204" t="s">
        <v>77</v>
      </c>
      <c r="I1792" s="204" t="s">
        <v>7465</v>
      </c>
    </row>
    <row r="1793" spans="1:10" x14ac:dyDescent="0.25">
      <c r="A1793" s="204" t="s">
        <v>1846</v>
      </c>
      <c r="B1793" s="9" t="str">
        <f t="shared" si="56"/>
        <v>52574200</v>
      </c>
      <c r="C1793" s="9" t="str">
        <f>VLOOKUP(B1793,COA!A:B,2,FALSE)</f>
        <v>Data Lines - Admin &amp; General</v>
      </c>
      <c r="D1793" s="338" t="str">
        <f t="shared" si="55"/>
        <v>C6758</v>
      </c>
      <c r="E1793" s="338" t="s">
        <v>6900</v>
      </c>
      <c r="F1793" s="338" t="s">
        <v>6866</v>
      </c>
      <c r="G1793" s="338" t="s">
        <v>6882</v>
      </c>
      <c r="H1793" s="204" t="s">
        <v>77</v>
      </c>
      <c r="I1793" s="204" t="s">
        <v>7465</v>
      </c>
    </row>
    <row r="1794" spans="1:10" x14ac:dyDescent="0.25">
      <c r="A1794" s="204" t="s">
        <v>1847</v>
      </c>
      <c r="B1794" s="9" t="str">
        <f t="shared" si="56"/>
        <v>52574300</v>
      </c>
      <c r="C1794" s="9" t="str">
        <f>VLOOKUP(B1794,COA!A:B,2,FALSE)</f>
        <v>Wireless - Service First - Natural Account</v>
      </c>
      <c r="D1794" s="338" t="str">
        <f t="shared" si="55"/>
        <v>C6758</v>
      </c>
      <c r="E1794" s="338" t="s">
        <v>6900</v>
      </c>
      <c r="F1794" s="338" t="s">
        <v>6866</v>
      </c>
      <c r="G1794" s="338" t="s">
        <v>6882</v>
      </c>
      <c r="H1794" s="204" t="s">
        <v>77</v>
      </c>
      <c r="I1794" s="204" t="s">
        <v>7465</v>
      </c>
    </row>
    <row r="1795" spans="1:10" x14ac:dyDescent="0.25">
      <c r="A1795" s="204" t="s">
        <v>1848</v>
      </c>
      <c r="B1795" s="9" t="str">
        <f t="shared" si="56"/>
        <v>52574314</v>
      </c>
      <c r="C1795" s="9" t="str">
        <f>VLOOKUP(B1795,COA!A:B,2,FALSE)</f>
        <v>Wireless - Service First-Transmission&amp;Distribution</v>
      </c>
      <c r="D1795" s="338" t="str">
        <f t="shared" si="55"/>
        <v>C6755</v>
      </c>
      <c r="E1795" s="338" t="s">
        <v>6900</v>
      </c>
      <c r="F1795" s="338" t="s">
        <v>6978</v>
      </c>
      <c r="G1795" s="338" t="s">
        <v>6882</v>
      </c>
      <c r="H1795" s="204" t="s">
        <v>77</v>
      </c>
      <c r="I1795" s="204" t="s">
        <v>7480</v>
      </c>
    </row>
    <row r="1796" spans="1:10" x14ac:dyDescent="0.25">
      <c r="A1796" s="204" t="s">
        <v>1849</v>
      </c>
      <c r="B1796" s="9" t="str">
        <f t="shared" si="56"/>
        <v>52574315</v>
      </c>
      <c r="C1796" s="9" t="str">
        <f>VLOOKUP(B1796,COA!A:B,2,FALSE)</f>
        <v>Wireless - Service First - Customer Accounting</v>
      </c>
      <c r="D1796" s="338" t="str">
        <f t="shared" si="55"/>
        <v>C6757</v>
      </c>
      <c r="E1796" s="338" t="s">
        <v>6900</v>
      </c>
      <c r="F1796" s="338" t="s">
        <v>6958</v>
      </c>
      <c r="G1796" s="338" t="s">
        <v>6882</v>
      </c>
      <c r="H1796" s="204" t="s">
        <v>77</v>
      </c>
      <c r="I1796" s="204" t="s">
        <v>7481</v>
      </c>
    </row>
    <row r="1797" spans="1:10" x14ac:dyDescent="0.25">
      <c r="A1797" s="204" t="s">
        <v>1850</v>
      </c>
      <c r="B1797" s="9" t="str">
        <f t="shared" si="56"/>
        <v>52574316</v>
      </c>
      <c r="C1797" s="9" t="str">
        <f>VLOOKUP(B1797,COA!A:B,2,FALSE)</f>
        <v>Wireless - Service First - Admin &amp; General</v>
      </c>
      <c r="D1797" s="338" t="str">
        <f t="shared" si="55"/>
        <v>C6758</v>
      </c>
      <c r="E1797" s="338" t="s">
        <v>6900</v>
      </c>
      <c r="F1797" s="338" t="s">
        <v>6866</v>
      </c>
      <c r="G1797" s="338" t="s">
        <v>6882</v>
      </c>
      <c r="H1797" s="204" t="s">
        <v>77</v>
      </c>
      <c r="I1797" s="204" t="s">
        <v>7465</v>
      </c>
      <c r="J1797" s="205"/>
    </row>
    <row r="1798" spans="1:10" x14ac:dyDescent="0.25">
      <c r="A1798" s="204" t="s">
        <v>1851</v>
      </c>
      <c r="B1798" s="9" t="str">
        <f t="shared" si="56"/>
        <v>52577500</v>
      </c>
      <c r="C1798" s="9" t="str">
        <f>VLOOKUP(B1798,COA!A:B,2,FALSE)</f>
        <v>Trade Shows</v>
      </c>
      <c r="D1798" s="338" t="str">
        <f t="shared" si="55"/>
        <v>C6758</v>
      </c>
      <c r="E1798" s="338" t="s">
        <v>6900</v>
      </c>
      <c r="F1798" s="338" t="s">
        <v>6866</v>
      </c>
      <c r="G1798" s="338" t="s">
        <v>18</v>
      </c>
      <c r="H1798" s="204" t="s">
        <v>77</v>
      </c>
      <c r="I1798" s="204" t="s">
        <v>7465</v>
      </c>
    </row>
    <row r="1799" spans="1:10" x14ac:dyDescent="0.25">
      <c r="A1799" s="204" t="s">
        <v>1852</v>
      </c>
      <c r="B1799" s="9" t="str">
        <f t="shared" si="56"/>
        <v>52578000</v>
      </c>
      <c r="C1799" s="9" t="str">
        <f>VLOOKUP(B1799,COA!A:B,2,FALSE)</f>
        <v>Trash Removal - Natural Account</v>
      </c>
      <c r="D1799" s="338" t="str">
        <f t="shared" si="55"/>
        <v>C6758</v>
      </c>
      <c r="E1799" s="338" t="s">
        <v>6900</v>
      </c>
      <c r="F1799" s="338" t="s">
        <v>6866</v>
      </c>
      <c r="G1799" s="338" t="s">
        <v>7144</v>
      </c>
      <c r="H1799" s="204" t="s">
        <v>77</v>
      </c>
      <c r="I1799" s="204" t="s">
        <v>7465</v>
      </c>
    </row>
    <row r="1800" spans="1:10" x14ac:dyDescent="0.25">
      <c r="A1800" s="204" t="s">
        <v>1853</v>
      </c>
      <c r="B1800" s="9" t="str">
        <f t="shared" si="56"/>
        <v>52578011</v>
      </c>
      <c r="C1800" s="9" t="str">
        <f>VLOOKUP(B1800,COA!A:B,2,FALSE)</f>
        <v>Trash Removal - Source of Supply</v>
      </c>
      <c r="D1800" s="338" t="str">
        <f t="shared" si="55"/>
        <v>C6751</v>
      </c>
      <c r="E1800" s="338" t="s">
        <v>6900</v>
      </c>
      <c r="F1800" s="338" t="s">
        <v>23</v>
      </c>
      <c r="G1800" s="338" t="s">
        <v>7144</v>
      </c>
      <c r="H1800" s="204" t="s">
        <v>77</v>
      </c>
      <c r="I1800" s="204" t="s">
        <v>7479</v>
      </c>
    </row>
    <row r="1801" spans="1:10" x14ac:dyDescent="0.25">
      <c r="A1801" s="204" t="s">
        <v>1854</v>
      </c>
      <c r="B1801" s="9" t="str">
        <f t="shared" si="56"/>
        <v>52578013</v>
      </c>
      <c r="C1801" s="9" t="str">
        <f>VLOOKUP(B1801,COA!A:B,2,FALSE)</f>
        <v>Trash Removal - Water Treatment</v>
      </c>
      <c r="D1801" s="338" t="str">
        <f t="shared" si="55"/>
        <v>C6753</v>
      </c>
      <c r="E1801" s="338" t="s">
        <v>6900</v>
      </c>
      <c r="F1801" s="338" t="s">
        <v>9</v>
      </c>
      <c r="G1801" s="338" t="s">
        <v>7144</v>
      </c>
      <c r="H1801" s="204" t="s">
        <v>77</v>
      </c>
      <c r="I1801" s="204" t="s">
        <v>7466</v>
      </c>
    </row>
    <row r="1802" spans="1:10" x14ac:dyDescent="0.25">
      <c r="A1802" s="204" t="s">
        <v>1855</v>
      </c>
      <c r="B1802" s="9" t="str">
        <f t="shared" si="56"/>
        <v>52578014</v>
      </c>
      <c r="C1802" s="9" t="str">
        <f>VLOOKUP(B1802,COA!A:B,2,FALSE)</f>
        <v>Trash Removal - Transmission &amp; Distribution</v>
      </c>
      <c r="D1802" s="338" t="str">
        <f t="shared" si="55"/>
        <v>C6755</v>
      </c>
      <c r="E1802" s="338" t="s">
        <v>6900</v>
      </c>
      <c r="F1802" s="338" t="s">
        <v>6978</v>
      </c>
      <c r="G1802" s="338" t="s">
        <v>7144</v>
      </c>
      <c r="H1802" s="204" t="s">
        <v>77</v>
      </c>
      <c r="I1802" s="204" t="s">
        <v>7480</v>
      </c>
    </row>
    <row r="1803" spans="1:10" x14ac:dyDescent="0.25">
      <c r="A1803" s="204" t="s">
        <v>1856</v>
      </c>
      <c r="B1803" s="9" t="str">
        <f t="shared" si="56"/>
        <v>52578015</v>
      </c>
      <c r="C1803" s="9" t="str">
        <f>VLOOKUP(B1803,COA!A:B,2,FALSE)</f>
        <v>Trash Removal - Customer Accounting</v>
      </c>
      <c r="D1803" s="338" t="str">
        <f t="shared" ref="D1803:D1866" si="57">+I1803</f>
        <v>C6757</v>
      </c>
      <c r="E1803" s="338" t="s">
        <v>6900</v>
      </c>
      <c r="F1803" s="338" t="s">
        <v>6958</v>
      </c>
      <c r="G1803" s="338" t="s">
        <v>7144</v>
      </c>
      <c r="H1803" s="204" t="s">
        <v>77</v>
      </c>
      <c r="I1803" s="204" t="s">
        <v>7481</v>
      </c>
      <c r="J1803" s="205"/>
    </row>
    <row r="1804" spans="1:10" x14ac:dyDescent="0.25">
      <c r="A1804" s="204" t="s">
        <v>1857</v>
      </c>
      <c r="B1804" s="9" t="str">
        <f t="shared" si="56"/>
        <v>52578016</v>
      </c>
      <c r="C1804" s="9" t="str">
        <f>VLOOKUP(B1804,COA!A:B,2,FALSE)</f>
        <v>Trash Removal - Admin &amp; General</v>
      </c>
      <c r="D1804" s="338" t="str">
        <f t="shared" si="57"/>
        <v>C6758</v>
      </c>
      <c r="E1804" s="338" t="s">
        <v>6900</v>
      </c>
      <c r="F1804" s="338" t="s">
        <v>6866</v>
      </c>
      <c r="G1804" s="338" t="s">
        <v>7144</v>
      </c>
      <c r="H1804" s="204" t="s">
        <v>77</v>
      </c>
      <c r="I1804" s="204" t="s">
        <v>7465</v>
      </c>
    </row>
    <row r="1805" spans="1:10" x14ac:dyDescent="0.25">
      <c r="A1805" s="204" t="s">
        <v>1858</v>
      </c>
      <c r="B1805" s="9" t="str">
        <f t="shared" si="56"/>
        <v>52579000</v>
      </c>
      <c r="C1805" s="9" t="str">
        <f>VLOOKUP(B1805,COA!A:B,2,FALSE)</f>
        <v>Trustee Fees</v>
      </c>
      <c r="D1805" s="338" t="str">
        <f t="shared" si="57"/>
        <v>C6758</v>
      </c>
      <c r="E1805" s="338" t="s">
        <v>6900</v>
      </c>
      <c r="F1805" s="338" t="s">
        <v>6866</v>
      </c>
      <c r="G1805" s="338" t="s">
        <v>7</v>
      </c>
      <c r="H1805" s="204" t="s">
        <v>77</v>
      </c>
      <c r="I1805" s="204" t="s">
        <v>7465</v>
      </c>
    </row>
    <row r="1806" spans="1:10" x14ac:dyDescent="0.25">
      <c r="A1806" s="204" t="s">
        <v>1859</v>
      </c>
      <c r="B1806" s="9" t="str">
        <f t="shared" si="56"/>
        <v>52582000</v>
      </c>
      <c r="C1806" s="9" t="str">
        <f>VLOOKUP(B1806,COA!A:B,2,FALSE)</f>
        <v>Uniforms - Natural Account</v>
      </c>
      <c r="D1806" s="338" t="str">
        <f t="shared" si="57"/>
        <v>C6757</v>
      </c>
      <c r="E1806" s="338" t="s">
        <v>6900</v>
      </c>
      <c r="F1806" s="338" t="s">
        <v>6866</v>
      </c>
      <c r="G1806" s="338" t="s">
        <v>7</v>
      </c>
      <c r="H1806" s="204" t="s">
        <v>77</v>
      </c>
      <c r="I1806" s="204" t="s">
        <v>7481</v>
      </c>
    </row>
    <row r="1807" spans="1:10" x14ac:dyDescent="0.25">
      <c r="A1807" s="204" t="s">
        <v>1860</v>
      </c>
      <c r="B1807" s="9" t="str">
        <f t="shared" si="56"/>
        <v>52582011</v>
      </c>
      <c r="C1807" s="9" t="str">
        <f>VLOOKUP(B1807,COA!A:B,2,FALSE)</f>
        <v>Uniforms - Source of Supply</v>
      </c>
      <c r="D1807" s="338" t="str">
        <f t="shared" si="57"/>
        <v>C6751</v>
      </c>
      <c r="E1807" s="338" t="s">
        <v>6900</v>
      </c>
      <c r="F1807" s="338" t="s">
        <v>23</v>
      </c>
      <c r="G1807" s="338" t="s">
        <v>7</v>
      </c>
      <c r="H1807" s="204" t="s">
        <v>77</v>
      </c>
      <c r="I1807" s="204" t="s">
        <v>7479</v>
      </c>
    </row>
    <row r="1808" spans="1:10" x14ac:dyDescent="0.25">
      <c r="A1808" s="204" t="s">
        <v>1861</v>
      </c>
      <c r="B1808" s="9" t="str">
        <f t="shared" si="56"/>
        <v>52582012</v>
      </c>
      <c r="C1808" s="9" t="str">
        <f>VLOOKUP(B1808,COA!A:B,2,FALSE)</f>
        <v>Uniforms - Pumping</v>
      </c>
      <c r="D1808" s="338" t="str">
        <f t="shared" si="57"/>
        <v>C6753</v>
      </c>
      <c r="E1808" s="338" t="s">
        <v>6900</v>
      </c>
      <c r="F1808" s="338" t="s">
        <v>6865</v>
      </c>
      <c r="G1808" s="338" t="s">
        <v>7</v>
      </c>
      <c r="H1808" s="204" t="s">
        <v>77</v>
      </c>
      <c r="I1808" s="204" t="s">
        <v>7466</v>
      </c>
    </row>
    <row r="1809" spans="1:9" x14ac:dyDescent="0.25">
      <c r="A1809" s="204" t="s">
        <v>1862</v>
      </c>
      <c r="B1809" s="9" t="str">
        <f t="shared" si="56"/>
        <v>52582013</v>
      </c>
      <c r="C1809" s="9" t="str">
        <f>VLOOKUP(B1809,COA!A:B,2,FALSE)</f>
        <v>Uniforms - Water Treatment</v>
      </c>
      <c r="D1809" s="338" t="str">
        <f t="shared" si="57"/>
        <v>C6753</v>
      </c>
      <c r="E1809" s="338" t="s">
        <v>6900</v>
      </c>
      <c r="F1809" s="338" t="s">
        <v>9</v>
      </c>
      <c r="G1809" s="338" t="s">
        <v>7</v>
      </c>
      <c r="H1809" s="204" t="s">
        <v>77</v>
      </c>
      <c r="I1809" s="204" t="s">
        <v>7466</v>
      </c>
    </row>
    <row r="1810" spans="1:9" x14ac:dyDescent="0.25">
      <c r="A1810" s="204" t="s">
        <v>1863</v>
      </c>
      <c r="B1810" s="9" t="str">
        <f t="shared" si="56"/>
        <v>52582014</v>
      </c>
      <c r="C1810" s="9" t="str">
        <f>VLOOKUP(B1810,COA!A:B,2,FALSE)</f>
        <v>Uniforms - Transmission &amp; Distribution</v>
      </c>
      <c r="D1810" s="338" t="str">
        <f t="shared" si="57"/>
        <v>C6755</v>
      </c>
      <c r="E1810" s="338" t="s">
        <v>6900</v>
      </c>
      <c r="F1810" s="338" t="s">
        <v>6978</v>
      </c>
      <c r="G1810" s="338" t="s">
        <v>7</v>
      </c>
      <c r="H1810" s="204" t="s">
        <v>77</v>
      </c>
      <c r="I1810" s="204" t="s">
        <v>7480</v>
      </c>
    </row>
    <row r="1811" spans="1:9" x14ac:dyDescent="0.25">
      <c r="A1811" s="204" t="s">
        <v>1864</v>
      </c>
      <c r="B1811" s="9" t="str">
        <f t="shared" si="56"/>
        <v>52582015</v>
      </c>
      <c r="C1811" s="9" t="str">
        <f>VLOOKUP(B1811,COA!A:B,2,FALSE)</f>
        <v>Uniforms - Customer Accounting</v>
      </c>
      <c r="D1811" s="338" t="str">
        <f t="shared" si="57"/>
        <v>C6757</v>
      </c>
      <c r="E1811" s="338" t="s">
        <v>6900</v>
      </c>
      <c r="F1811" s="338" t="s">
        <v>6958</v>
      </c>
      <c r="G1811" s="338" t="s">
        <v>7</v>
      </c>
      <c r="H1811" s="204" t="s">
        <v>77</v>
      </c>
      <c r="I1811" s="204" t="s">
        <v>7481</v>
      </c>
    </row>
    <row r="1812" spans="1:9" x14ac:dyDescent="0.25">
      <c r="A1812" s="204" t="s">
        <v>1865</v>
      </c>
      <c r="B1812" s="9" t="str">
        <f t="shared" si="56"/>
        <v>52582016</v>
      </c>
      <c r="C1812" s="9" t="str">
        <f>VLOOKUP(B1812,COA!A:B,2,FALSE)</f>
        <v>Uniforms - Admin &amp; General</v>
      </c>
      <c r="D1812" s="338" t="str">
        <f t="shared" si="57"/>
        <v>C6757</v>
      </c>
      <c r="E1812" s="338" t="s">
        <v>6900</v>
      </c>
      <c r="F1812" s="338" t="s">
        <v>6866</v>
      </c>
      <c r="G1812" s="338" t="s">
        <v>7</v>
      </c>
      <c r="H1812" s="204" t="s">
        <v>77</v>
      </c>
      <c r="I1812" s="204" t="s">
        <v>7481</v>
      </c>
    </row>
    <row r="1813" spans="1:9" x14ac:dyDescent="0.25">
      <c r="A1813" s="204" t="s">
        <v>1866</v>
      </c>
      <c r="B1813" s="9" t="str">
        <f t="shared" si="56"/>
        <v>52583000</v>
      </c>
      <c r="C1813" s="9" t="str">
        <f>VLOOKUP(B1813,COA!A:B,2,FALSE)</f>
        <v>Water &amp; WW - Natural Account</v>
      </c>
      <c r="D1813" s="338" t="str">
        <f t="shared" si="57"/>
        <v>C6758</v>
      </c>
      <c r="E1813" s="338" t="s">
        <v>6900</v>
      </c>
      <c r="F1813" s="338" t="s">
        <v>6866</v>
      </c>
      <c r="G1813" s="338" t="s">
        <v>7</v>
      </c>
      <c r="H1813" s="204" t="s">
        <v>77</v>
      </c>
      <c r="I1813" s="204" t="s">
        <v>7465</v>
      </c>
    </row>
    <row r="1814" spans="1:9" x14ac:dyDescent="0.25">
      <c r="A1814" s="204" t="s">
        <v>1867</v>
      </c>
      <c r="B1814" s="9" t="str">
        <f t="shared" si="56"/>
        <v>52583011</v>
      </c>
      <c r="C1814" s="9" t="str">
        <f>VLOOKUP(B1814,COA!A:B,2,FALSE)</f>
        <v>Water &amp; WW - Source of Supply</v>
      </c>
      <c r="D1814" s="338" t="str">
        <f t="shared" si="57"/>
        <v>C6751</v>
      </c>
      <c r="E1814" s="338" t="s">
        <v>6900</v>
      </c>
      <c r="F1814" s="338" t="s">
        <v>23</v>
      </c>
      <c r="G1814" s="338" t="s">
        <v>7</v>
      </c>
      <c r="H1814" s="204" t="s">
        <v>77</v>
      </c>
      <c r="I1814" s="204" t="s">
        <v>7479</v>
      </c>
    </row>
    <row r="1815" spans="1:9" x14ac:dyDescent="0.25">
      <c r="A1815" s="204" t="s">
        <v>1868</v>
      </c>
      <c r="B1815" s="9" t="str">
        <f t="shared" si="56"/>
        <v>52583013</v>
      </c>
      <c r="C1815" s="9" t="str">
        <f>VLOOKUP(B1815,COA!A:B,2,FALSE)</f>
        <v>Water &amp; WW - Water Treatment</v>
      </c>
      <c r="D1815" s="338" t="str">
        <f t="shared" si="57"/>
        <v>C6753</v>
      </c>
      <c r="E1815" s="338" t="s">
        <v>6900</v>
      </c>
      <c r="F1815" s="338" t="s">
        <v>9</v>
      </c>
      <c r="G1815" s="338" t="s">
        <v>7</v>
      </c>
      <c r="H1815" s="204" t="s">
        <v>77</v>
      </c>
      <c r="I1815" s="204" t="s">
        <v>7466</v>
      </c>
    </row>
    <row r="1816" spans="1:9" x14ac:dyDescent="0.25">
      <c r="A1816" s="204" t="s">
        <v>1869</v>
      </c>
      <c r="B1816" s="9" t="str">
        <f t="shared" si="56"/>
        <v>52583014</v>
      </c>
      <c r="C1816" s="9" t="str">
        <f>VLOOKUP(B1816,COA!A:B,2,FALSE)</f>
        <v>Water &amp; WW - Transmission &amp; Distribution</v>
      </c>
      <c r="D1816" s="338" t="str">
        <f t="shared" si="57"/>
        <v>C6755</v>
      </c>
      <c r="E1816" s="338" t="s">
        <v>6900</v>
      </c>
      <c r="F1816" s="338" t="s">
        <v>6978</v>
      </c>
      <c r="G1816" s="338" t="s">
        <v>7</v>
      </c>
      <c r="H1816" s="204" t="s">
        <v>77</v>
      </c>
      <c r="I1816" s="204" t="s">
        <v>7480</v>
      </c>
    </row>
    <row r="1817" spans="1:9" x14ac:dyDescent="0.25">
      <c r="A1817" s="204" t="s">
        <v>1870</v>
      </c>
      <c r="B1817" s="9" t="str">
        <f t="shared" si="56"/>
        <v>52583016</v>
      </c>
      <c r="C1817" s="9" t="str">
        <f>VLOOKUP(B1817,COA!A:B,2,FALSE)</f>
        <v>Water &amp; WW - Admin &amp; General</v>
      </c>
      <c r="D1817" s="338" t="str">
        <f t="shared" si="57"/>
        <v>C6758</v>
      </c>
      <c r="E1817" s="338" t="s">
        <v>6900</v>
      </c>
      <c r="F1817" s="338" t="s">
        <v>6866</v>
      </c>
      <c r="G1817" s="338" t="s">
        <v>7</v>
      </c>
      <c r="H1817" s="204" t="s">
        <v>77</v>
      </c>
      <c r="I1817" s="204" t="s">
        <v>7465</v>
      </c>
    </row>
    <row r="1818" spans="1:9" x14ac:dyDescent="0.25">
      <c r="A1818" s="204" t="s">
        <v>1871</v>
      </c>
      <c r="B1818" s="9" t="str">
        <f t="shared" si="56"/>
        <v>52585000</v>
      </c>
      <c r="C1818" s="9" t="str">
        <f>VLOOKUP(B1818,COA!A:B,2,FALSE)</f>
        <v>Discounts Available</v>
      </c>
      <c r="D1818" s="338" t="str">
        <f t="shared" si="57"/>
        <v>C6758</v>
      </c>
      <c r="E1818" s="338" t="s">
        <v>6900</v>
      </c>
      <c r="F1818" s="338" t="s">
        <v>6866</v>
      </c>
      <c r="G1818" s="338" t="s">
        <v>7</v>
      </c>
      <c r="H1818" s="204" t="s">
        <v>77</v>
      </c>
      <c r="I1818" s="204" t="s">
        <v>7465</v>
      </c>
    </row>
    <row r="1819" spans="1:9" x14ac:dyDescent="0.25">
      <c r="A1819" s="204" t="s">
        <v>1872</v>
      </c>
      <c r="B1819" s="9" t="str">
        <f t="shared" si="56"/>
        <v>52585100</v>
      </c>
      <c r="C1819" s="9" t="str">
        <f>VLOOKUP(B1819,COA!A:B,2,FALSE)</f>
        <v>Discounts Lost</v>
      </c>
      <c r="D1819" s="338" t="str">
        <f t="shared" si="57"/>
        <v>C6758</v>
      </c>
      <c r="E1819" s="338" t="s">
        <v>6900</v>
      </c>
      <c r="F1819" s="338" t="s">
        <v>6866</v>
      </c>
      <c r="G1819" s="338" t="s">
        <v>7</v>
      </c>
      <c r="H1819" s="204" t="s">
        <v>77</v>
      </c>
      <c r="I1819" s="204" t="s">
        <v>7465</v>
      </c>
    </row>
    <row r="1820" spans="1:9" x14ac:dyDescent="0.25">
      <c r="A1820" s="204" t="s">
        <v>1873</v>
      </c>
      <c r="B1820" s="9" t="str">
        <f t="shared" si="56"/>
        <v>52586000</v>
      </c>
      <c r="C1820" s="9" t="str">
        <f>VLOOKUP(B1820,COA!A:B,2,FALSE)</f>
        <v>PO Small Price Differences - within tolerance</v>
      </c>
      <c r="D1820" s="338" t="str">
        <f t="shared" si="57"/>
        <v>C6758</v>
      </c>
      <c r="E1820" s="338" t="s">
        <v>6900</v>
      </c>
      <c r="F1820" s="338" t="s">
        <v>6866</v>
      </c>
      <c r="G1820" s="338" t="s">
        <v>7</v>
      </c>
      <c r="H1820" s="204" t="s">
        <v>77</v>
      </c>
      <c r="I1820" s="204" t="s">
        <v>7465</v>
      </c>
    </row>
    <row r="1821" spans="1:9" x14ac:dyDescent="0.25">
      <c r="A1821" s="204" t="s">
        <v>1874</v>
      </c>
      <c r="B1821" s="9" t="str">
        <f t="shared" si="56"/>
        <v>52599800</v>
      </c>
      <c r="C1821" s="9" t="str">
        <f>VLOOKUP(B1821,COA!A:B,2,FALSE)</f>
        <v>PCard Undistributed</v>
      </c>
      <c r="D1821" s="338" t="str">
        <f t="shared" si="57"/>
        <v>C6758</v>
      </c>
      <c r="E1821" s="338" t="s">
        <v>6900</v>
      </c>
      <c r="F1821" s="338" t="s">
        <v>6866</v>
      </c>
      <c r="G1821" s="338" t="s">
        <v>7</v>
      </c>
      <c r="H1821" s="204" t="s">
        <v>77</v>
      </c>
      <c r="I1821" s="204" t="s">
        <v>7465</v>
      </c>
    </row>
    <row r="1822" spans="1:9" x14ac:dyDescent="0.25">
      <c r="A1822" s="204" t="s">
        <v>1875</v>
      </c>
      <c r="B1822" s="9" t="str">
        <f t="shared" si="56"/>
        <v>52801000</v>
      </c>
      <c r="C1822" s="9" t="str">
        <f>VLOOKUP(B1822,COA!A:B,2,FALSE)</f>
        <v>Capital Purchases Clearing</v>
      </c>
      <c r="D1822" s="338" t="str">
        <f t="shared" si="57"/>
        <v>C6758</v>
      </c>
      <c r="E1822" s="338" t="s">
        <v>6900</v>
      </c>
      <c r="F1822" s="338" t="s">
        <v>6866</v>
      </c>
      <c r="G1822" s="338" t="s">
        <v>7</v>
      </c>
      <c r="H1822" s="204" t="s">
        <v>77</v>
      </c>
      <c r="I1822" s="204" t="s">
        <v>7465</v>
      </c>
    </row>
    <row r="1823" spans="1:9" x14ac:dyDescent="0.25">
      <c r="A1823" s="204" t="s">
        <v>1876</v>
      </c>
      <c r="B1823" s="9" t="str">
        <f t="shared" si="56"/>
        <v>52801100</v>
      </c>
      <c r="C1823" s="9" t="str">
        <f>VLOOKUP(B1823,COA!A:B,2,FALSE)</f>
        <v>Indirect Overhead Clearing</v>
      </c>
      <c r="D1823" s="338" t="str">
        <f t="shared" si="57"/>
        <v>C6758</v>
      </c>
      <c r="E1823" s="338" t="s">
        <v>6900</v>
      </c>
      <c r="F1823" s="338" t="s">
        <v>6866</v>
      </c>
      <c r="G1823" s="338" t="s">
        <v>7</v>
      </c>
      <c r="H1823" s="204" t="s">
        <v>77</v>
      </c>
      <c r="I1823" s="204" t="s">
        <v>7465</v>
      </c>
    </row>
    <row r="1824" spans="1:9" x14ac:dyDescent="0.25">
      <c r="A1824" s="204" t="s">
        <v>1877</v>
      </c>
      <c r="B1824" s="9" t="str">
        <f t="shared" si="56"/>
        <v>52801200</v>
      </c>
      <c r="C1824" s="9" t="str">
        <f>VLOOKUP(B1824,COA!A:B,2,FALSE)</f>
        <v>Capital Accrual Clearing</v>
      </c>
      <c r="D1824" s="338" t="str">
        <f t="shared" si="57"/>
        <v>C6758</v>
      </c>
      <c r="E1824" s="338" t="s">
        <v>6900</v>
      </c>
      <c r="F1824" s="338" t="s">
        <v>6866</v>
      </c>
      <c r="G1824" s="338" t="s">
        <v>7</v>
      </c>
      <c r="H1824" s="204" t="s">
        <v>77</v>
      </c>
      <c r="I1824" s="204" t="s">
        <v>7465</v>
      </c>
    </row>
    <row r="1825" spans="1:9" x14ac:dyDescent="0.25">
      <c r="A1825" s="204" t="s">
        <v>1878</v>
      </c>
      <c r="B1825" s="9" t="str">
        <f t="shared" si="56"/>
        <v>52801500</v>
      </c>
      <c r="C1825" s="9" t="str">
        <f>VLOOKUP(B1825,COA!A:B,2,FALSE)</f>
        <v>Dev Funded Const Clearing</v>
      </c>
      <c r="D1825" s="338" t="str">
        <f t="shared" si="57"/>
        <v>C6758</v>
      </c>
      <c r="E1825" s="338" t="s">
        <v>6900</v>
      </c>
      <c r="F1825" s="338" t="s">
        <v>6866</v>
      </c>
      <c r="G1825" s="338" t="s">
        <v>7</v>
      </c>
      <c r="H1825" s="204" t="s">
        <v>77</v>
      </c>
      <c r="I1825" s="204" t="s">
        <v>7465</v>
      </c>
    </row>
    <row r="1826" spans="1:9" x14ac:dyDescent="0.25">
      <c r="A1826" s="204" t="s">
        <v>1879</v>
      </c>
      <c r="B1826" s="9" t="str">
        <f t="shared" si="56"/>
        <v>52805000</v>
      </c>
      <c r="C1826" s="9" t="str">
        <f>VLOOKUP(B1826,COA!A:B,2,FALSE)</f>
        <v>Budget COR Clearing</v>
      </c>
      <c r="D1826" s="338" t="str">
        <f t="shared" si="57"/>
        <v>C6758</v>
      </c>
      <c r="E1826" s="338" t="s">
        <v>6900</v>
      </c>
      <c r="F1826" s="338" t="s">
        <v>6866</v>
      </c>
      <c r="G1826" s="338" t="s">
        <v>7</v>
      </c>
      <c r="H1826" s="204" t="s">
        <v>77</v>
      </c>
      <c r="I1826" s="204" t="s">
        <v>7465</v>
      </c>
    </row>
    <row r="1827" spans="1:9" x14ac:dyDescent="0.25">
      <c r="A1827" s="204" t="s">
        <v>1880</v>
      </c>
      <c r="B1827" s="9" t="str">
        <f t="shared" si="56"/>
        <v>52805100</v>
      </c>
      <c r="C1827" s="9" t="str">
        <f>VLOOKUP(B1827,COA!A:B,2,FALSE)</f>
        <v>Indirect Overhead RWIP Clearing</v>
      </c>
      <c r="D1827" s="338" t="str">
        <f t="shared" si="57"/>
        <v>C6758</v>
      </c>
      <c r="E1827" s="338" t="s">
        <v>6900</v>
      </c>
      <c r="F1827" s="338" t="s">
        <v>6866</v>
      </c>
      <c r="G1827" s="338" t="s">
        <v>7</v>
      </c>
      <c r="H1827" s="204" t="s">
        <v>77</v>
      </c>
      <c r="I1827" s="204" t="s">
        <v>7465</v>
      </c>
    </row>
    <row r="1828" spans="1:9" x14ac:dyDescent="0.25">
      <c r="A1828" s="204" t="s">
        <v>1881</v>
      </c>
      <c r="B1828" s="9" t="str">
        <f t="shared" si="56"/>
        <v>53110000</v>
      </c>
      <c r="C1828" s="9" t="str">
        <f>VLOOKUP(B1828,COA!A:B,2,FALSE)</f>
        <v>Contract Svc-Eng - Natural Account</v>
      </c>
      <c r="D1828" s="338" t="str">
        <f t="shared" si="57"/>
        <v>C6318</v>
      </c>
      <c r="E1828" s="338" t="s">
        <v>6900</v>
      </c>
      <c r="G1828" s="338" t="s">
        <v>13</v>
      </c>
      <c r="H1828" s="204" t="s">
        <v>77</v>
      </c>
      <c r="I1828" s="204" t="s">
        <v>7483</v>
      </c>
    </row>
    <row r="1829" spans="1:9" x14ac:dyDescent="0.25">
      <c r="A1829" s="204" t="s">
        <v>1882</v>
      </c>
      <c r="B1829" s="9" t="str">
        <f t="shared" si="56"/>
        <v>53110011</v>
      </c>
      <c r="C1829" s="9" t="str">
        <f>VLOOKUP(B1829,COA!A:B,2,FALSE)</f>
        <v>Contract Svc-Eng - Source of Supply</v>
      </c>
      <c r="D1829" s="338" t="str">
        <f t="shared" si="57"/>
        <v>C6311</v>
      </c>
      <c r="E1829" s="338" t="s">
        <v>6900</v>
      </c>
      <c r="F1829" s="338" t="s">
        <v>23</v>
      </c>
      <c r="G1829" s="338" t="s">
        <v>13</v>
      </c>
      <c r="H1829" s="204" t="s">
        <v>77</v>
      </c>
      <c r="I1829" s="204" t="s">
        <v>7484</v>
      </c>
    </row>
    <row r="1830" spans="1:9" x14ac:dyDescent="0.25">
      <c r="A1830" s="204" t="s">
        <v>1883</v>
      </c>
      <c r="B1830" s="9" t="str">
        <f t="shared" si="56"/>
        <v>53110013</v>
      </c>
      <c r="C1830" s="9" t="str">
        <f>VLOOKUP(B1830,COA!A:B,2,FALSE)</f>
        <v>Contract Svc-Eng - Water Treatment</v>
      </c>
      <c r="D1830" s="338" t="str">
        <f t="shared" si="57"/>
        <v>C6313</v>
      </c>
      <c r="E1830" s="338" t="s">
        <v>6900</v>
      </c>
      <c r="F1830" s="338" t="s">
        <v>9</v>
      </c>
      <c r="G1830" s="338" t="s">
        <v>13</v>
      </c>
      <c r="H1830" s="204" t="s">
        <v>77</v>
      </c>
      <c r="I1830" s="204" t="s">
        <v>7485</v>
      </c>
    </row>
    <row r="1831" spans="1:9" x14ac:dyDescent="0.25">
      <c r="A1831" s="204" t="s">
        <v>1884</v>
      </c>
      <c r="B1831" s="9" t="str">
        <f t="shared" si="56"/>
        <v>53110014</v>
      </c>
      <c r="C1831" s="9" t="str">
        <f>VLOOKUP(B1831,COA!A:B,2,FALSE)</f>
        <v>Contract Svc-Eng - Transmission &amp; Distribution</v>
      </c>
      <c r="D1831" s="338" t="str">
        <f t="shared" si="57"/>
        <v>C6315</v>
      </c>
      <c r="E1831" s="338" t="s">
        <v>6900</v>
      </c>
      <c r="F1831" s="338" t="s">
        <v>6978</v>
      </c>
      <c r="G1831" s="338" t="s">
        <v>13</v>
      </c>
      <c r="H1831" s="204" t="s">
        <v>77</v>
      </c>
      <c r="I1831" s="204" t="s">
        <v>7486</v>
      </c>
    </row>
    <row r="1832" spans="1:9" x14ac:dyDescent="0.25">
      <c r="A1832" s="204" t="s">
        <v>1885</v>
      </c>
      <c r="B1832" s="9" t="str">
        <f t="shared" si="56"/>
        <v>53110015</v>
      </c>
      <c r="C1832" s="9" t="str">
        <f>VLOOKUP(B1832,COA!A:B,2,FALSE)</f>
        <v>Contract Svc-Eng - Customer Accounting</v>
      </c>
      <c r="D1832" s="338" t="str">
        <f t="shared" si="57"/>
        <v>C6317</v>
      </c>
      <c r="E1832" s="338" t="s">
        <v>6900</v>
      </c>
      <c r="F1832" s="338" t="s">
        <v>6958</v>
      </c>
      <c r="G1832" s="338" t="s">
        <v>13</v>
      </c>
      <c r="H1832" s="204" t="s">
        <v>77</v>
      </c>
      <c r="I1832" s="204" t="s">
        <v>7487</v>
      </c>
    </row>
    <row r="1833" spans="1:9" x14ac:dyDescent="0.25">
      <c r="A1833" s="204" t="s">
        <v>1886</v>
      </c>
      <c r="B1833" s="9" t="str">
        <f t="shared" si="56"/>
        <v>53110016</v>
      </c>
      <c r="C1833" s="9" t="str">
        <f>VLOOKUP(B1833,COA!A:B,2,FALSE)</f>
        <v>Contract Svc-Eng - Admin &amp; General</v>
      </c>
      <c r="D1833" s="338" t="str">
        <f t="shared" si="57"/>
        <v>C6318</v>
      </c>
      <c r="E1833" s="338" t="s">
        <v>6900</v>
      </c>
      <c r="F1833" s="338" t="s">
        <v>6866</v>
      </c>
      <c r="G1833" s="338" t="s">
        <v>13</v>
      </c>
      <c r="H1833" s="204" t="s">
        <v>77</v>
      </c>
      <c r="I1833" s="204" t="s">
        <v>7483</v>
      </c>
    </row>
    <row r="1834" spans="1:9" x14ac:dyDescent="0.25">
      <c r="A1834" s="204" t="s">
        <v>1887</v>
      </c>
      <c r="B1834" s="9" t="str">
        <f t="shared" si="56"/>
        <v>53150000</v>
      </c>
      <c r="C1834" s="9" t="str">
        <f>VLOOKUP(B1834,COA!A:B,2,FALSE)</f>
        <v>Contract Svc-Other - Natural Account</v>
      </c>
      <c r="D1834" s="338" t="str">
        <f t="shared" si="57"/>
        <v>C6368</v>
      </c>
      <c r="E1834" s="338" t="s">
        <v>6900</v>
      </c>
      <c r="G1834" s="338" t="s">
        <v>5</v>
      </c>
      <c r="H1834" s="204" t="s">
        <v>77</v>
      </c>
      <c r="I1834" s="204" t="s">
        <v>7488</v>
      </c>
    </row>
    <row r="1835" spans="1:9" x14ac:dyDescent="0.25">
      <c r="A1835" s="204" t="s">
        <v>1888</v>
      </c>
      <c r="B1835" s="9" t="str">
        <f t="shared" si="56"/>
        <v>53150011</v>
      </c>
      <c r="C1835" s="9" t="str">
        <f>VLOOKUP(B1835,COA!A:B,2,FALSE)</f>
        <v>Contract Svc-Other - Source of Supply</v>
      </c>
      <c r="D1835" s="338" t="str">
        <f t="shared" si="57"/>
        <v>C6361</v>
      </c>
      <c r="E1835" s="338" t="s">
        <v>6900</v>
      </c>
      <c r="F1835" s="338" t="s">
        <v>23</v>
      </c>
      <c r="G1835" s="338" t="s">
        <v>5</v>
      </c>
      <c r="H1835" s="204" t="s">
        <v>77</v>
      </c>
      <c r="I1835" s="204" t="s">
        <v>7489</v>
      </c>
    </row>
    <row r="1836" spans="1:9" x14ac:dyDescent="0.25">
      <c r="A1836" s="204" t="s">
        <v>1889</v>
      </c>
      <c r="B1836" s="9" t="str">
        <f t="shared" si="56"/>
        <v>53150013</v>
      </c>
      <c r="C1836" s="9" t="str">
        <f>VLOOKUP(B1836,COA!A:B,2,FALSE)</f>
        <v>Contract Svc-Other - Water Treatment</v>
      </c>
      <c r="D1836" s="338" t="str">
        <f t="shared" si="57"/>
        <v>C6363</v>
      </c>
      <c r="E1836" s="338" t="s">
        <v>6900</v>
      </c>
      <c r="F1836" s="338" t="s">
        <v>9</v>
      </c>
      <c r="G1836" s="338" t="s">
        <v>5</v>
      </c>
      <c r="H1836" s="204" t="s">
        <v>77</v>
      </c>
      <c r="I1836" s="204" t="s">
        <v>7490</v>
      </c>
    </row>
    <row r="1837" spans="1:9" x14ac:dyDescent="0.25">
      <c r="A1837" s="204" t="s">
        <v>1890</v>
      </c>
      <c r="B1837" s="9" t="str">
        <f t="shared" si="56"/>
        <v>53150014</v>
      </c>
      <c r="C1837" s="9" t="str">
        <f>VLOOKUP(B1837,COA!A:B,2,FALSE)</f>
        <v>Contract Svc-Other - Transmission &amp; Distribution</v>
      </c>
      <c r="D1837" s="338" t="str">
        <f t="shared" si="57"/>
        <v>C6365</v>
      </c>
      <c r="E1837" s="338" t="s">
        <v>6900</v>
      </c>
      <c r="F1837" s="338" t="s">
        <v>6978</v>
      </c>
      <c r="G1837" s="338" t="s">
        <v>5</v>
      </c>
      <c r="H1837" s="204" t="s">
        <v>77</v>
      </c>
      <c r="I1837" s="204" t="s">
        <v>7491</v>
      </c>
    </row>
    <row r="1838" spans="1:9" x14ac:dyDescent="0.25">
      <c r="A1838" s="204" t="s">
        <v>1891</v>
      </c>
      <c r="B1838" s="9" t="str">
        <f t="shared" ref="B1838:B1901" si="58">RIGHT(A1838,8)</f>
        <v>53150015</v>
      </c>
      <c r="C1838" s="9" t="str">
        <f>VLOOKUP(B1838,COA!A:B,2,FALSE)</f>
        <v>Contract Svc-Other - Customer Accounting</v>
      </c>
      <c r="D1838" s="338" t="str">
        <f t="shared" si="57"/>
        <v>C6367</v>
      </c>
      <c r="E1838" s="338" t="s">
        <v>6900</v>
      </c>
      <c r="F1838" s="338" t="s">
        <v>6958</v>
      </c>
      <c r="G1838" s="338" t="s">
        <v>5</v>
      </c>
      <c r="H1838" s="204" t="s">
        <v>77</v>
      </c>
      <c r="I1838" s="204" t="s">
        <v>7492</v>
      </c>
    </row>
    <row r="1839" spans="1:9" x14ac:dyDescent="0.25">
      <c r="A1839" s="204" t="s">
        <v>1892</v>
      </c>
      <c r="B1839" s="9" t="str">
        <f t="shared" si="58"/>
        <v>53150016</v>
      </c>
      <c r="C1839" s="9" t="str">
        <f>VLOOKUP(B1839,COA!A:B,2,FALSE)</f>
        <v>Contract Svc-Other - Admin &amp; General</v>
      </c>
      <c r="D1839" s="338" t="str">
        <f t="shared" si="57"/>
        <v>C6368</v>
      </c>
      <c r="E1839" s="338" t="s">
        <v>6900</v>
      </c>
      <c r="F1839" s="338" t="s">
        <v>6866</v>
      </c>
      <c r="G1839" s="338" t="s">
        <v>5</v>
      </c>
      <c r="H1839" s="204" t="s">
        <v>77</v>
      </c>
      <c r="I1839" s="204" t="s">
        <v>7488</v>
      </c>
    </row>
    <row r="1840" spans="1:9" x14ac:dyDescent="0.25">
      <c r="A1840" s="204" t="s">
        <v>1893</v>
      </c>
      <c r="B1840" s="9" t="str">
        <f t="shared" si="58"/>
        <v>53151000</v>
      </c>
      <c r="C1840" s="9" t="str">
        <f>VLOOKUP(B1840,COA!A:B,2,FALSE)</f>
        <v>Contract Svc-Temp Empl - Natural Account</v>
      </c>
      <c r="D1840" s="338" t="str">
        <f t="shared" si="57"/>
        <v>C6368</v>
      </c>
      <c r="E1840" s="338" t="s">
        <v>6900</v>
      </c>
      <c r="G1840" s="338" t="s">
        <v>5</v>
      </c>
      <c r="H1840" s="204" t="s">
        <v>77</v>
      </c>
      <c r="I1840" s="204" t="s">
        <v>7488</v>
      </c>
    </row>
    <row r="1841" spans="1:10" x14ac:dyDescent="0.25">
      <c r="A1841" s="204" t="s">
        <v>1894</v>
      </c>
      <c r="B1841" s="9" t="str">
        <f t="shared" si="58"/>
        <v>53151011</v>
      </c>
      <c r="C1841" s="9" t="str">
        <f>VLOOKUP(B1841,COA!A:B,2,FALSE)</f>
        <v>Contract Svc-Temp Empl - Source of Supply</v>
      </c>
      <c r="D1841" s="338" t="str">
        <f t="shared" si="57"/>
        <v>C6361</v>
      </c>
      <c r="E1841" s="338" t="s">
        <v>6900</v>
      </c>
      <c r="F1841" s="338" t="s">
        <v>6866</v>
      </c>
      <c r="G1841" s="338" t="s">
        <v>5</v>
      </c>
      <c r="H1841" s="204" t="s">
        <v>77</v>
      </c>
      <c r="I1841" s="204" t="s">
        <v>7489</v>
      </c>
    </row>
    <row r="1842" spans="1:10" x14ac:dyDescent="0.25">
      <c r="A1842" s="204" t="s">
        <v>1895</v>
      </c>
      <c r="B1842" s="9" t="str">
        <f t="shared" si="58"/>
        <v>53151013</v>
      </c>
      <c r="C1842" s="9" t="str">
        <f>VLOOKUP(B1842,COA!A:B,2,FALSE)</f>
        <v>Contract Svc-Temp Empl - Water Treatment</v>
      </c>
      <c r="D1842" s="338" t="str">
        <f t="shared" si="57"/>
        <v>C6363</v>
      </c>
      <c r="E1842" s="338" t="s">
        <v>6900</v>
      </c>
      <c r="F1842" s="338" t="s">
        <v>9</v>
      </c>
      <c r="G1842" s="338" t="s">
        <v>5</v>
      </c>
      <c r="H1842" s="204" t="s">
        <v>77</v>
      </c>
      <c r="I1842" s="204" t="s">
        <v>7490</v>
      </c>
    </row>
    <row r="1843" spans="1:10" x14ac:dyDescent="0.25">
      <c r="A1843" s="204" t="s">
        <v>1896</v>
      </c>
      <c r="B1843" s="9" t="str">
        <f t="shared" si="58"/>
        <v>53151014</v>
      </c>
      <c r="C1843" s="9" t="str">
        <f>VLOOKUP(B1843,COA!A:B,2,FALSE)</f>
        <v>Contract Svc-Temp Empl - Transmssn &amp; Distr</v>
      </c>
      <c r="D1843" s="338" t="str">
        <f t="shared" si="57"/>
        <v>C6365</v>
      </c>
      <c r="E1843" s="338" t="s">
        <v>6900</v>
      </c>
      <c r="F1843" s="338" t="s">
        <v>6978</v>
      </c>
      <c r="G1843" s="338" t="s">
        <v>5</v>
      </c>
      <c r="H1843" s="204" t="s">
        <v>77</v>
      </c>
      <c r="I1843" s="204" t="s">
        <v>7491</v>
      </c>
    </row>
    <row r="1844" spans="1:10" x14ac:dyDescent="0.25">
      <c r="A1844" s="204" t="s">
        <v>1897</v>
      </c>
      <c r="B1844" s="9" t="str">
        <f t="shared" si="58"/>
        <v>53151015</v>
      </c>
      <c r="C1844" s="9" t="str">
        <f>VLOOKUP(B1844,COA!A:B,2,FALSE)</f>
        <v>Contract Svc-Temp Empl - Customer Accounting</v>
      </c>
      <c r="D1844" s="338" t="str">
        <f t="shared" si="57"/>
        <v>C6367</v>
      </c>
      <c r="E1844" s="338" t="s">
        <v>6900</v>
      </c>
      <c r="F1844" s="338" t="s">
        <v>6958</v>
      </c>
      <c r="G1844" s="338" t="s">
        <v>5</v>
      </c>
      <c r="H1844" s="204" t="s">
        <v>77</v>
      </c>
      <c r="I1844" s="204" t="s">
        <v>7492</v>
      </c>
    </row>
    <row r="1845" spans="1:10" x14ac:dyDescent="0.25">
      <c r="A1845" s="204" t="s">
        <v>1898</v>
      </c>
      <c r="B1845" s="9" t="str">
        <f t="shared" si="58"/>
        <v>53151016</v>
      </c>
      <c r="C1845" s="9" t="str">
        <f>VLOOKUP(B1845,COA!A:B,2,FALSE)</f>
        <v>Contract Svc-Temp Empl - Admin &amp; General</v>
      </c>
      <c r="D1845" s="338" t="str">
        <f t="shared" si="57"/>
        <v>C6368</v>
      </c>
      <c r="E1845" s="338" t="s">
        <v>6900</v>
      </c>
      <c r="F1845" s="338" t="s">
        <v>6866</v>
      </c>
      <c r="G1845" s="338" t="s">
        <v>5</v>
      </c>
      <c r="H1845" s="204" t="s">
        <v>77</v>
      </c>
      <c r="I1845" s="204" t="s">
        <v>7488</v>
      </c>
    </row>
    <row r="1846" spans="1:10" x14ac:dyDescent="0.25">
      <c r="A1846" s="204" t="s">
        <v>1899</v>
      </c>
      <c r="B1846" s="9" t="str">
        <f t="shared" si="58"/>
        <v>53152000</v>
      </c>
      <c r="C1846" s="9" t="str">
        <f>VLOOKUP(B1846,COA!A:B,2,FALSE)</f>
        <v>Contract Svc-Lab Testing - Water Treatment</v>
      </c>
      <c r="D1846" s="338" t="str">
        <f t="shared" si="57"/>
        <v>C6353</v>
      </c>
      <c r="E1846" s="338" t="s">
        <v>6900</v>
      </c>
      <c r="F1846" s="338" t="s">
        <v>9</v>
      </c>
      <c r="G1846" s="338" t="s">
        <v>5</v>
      </c>
      <c r="H1846" s="204" t="s">
        <v>77</v>
      </c>
      <c r="I1846" s="204" t="s">
        <v>7493</v>
      </c>
    </row>
    <row r="1847" spans="1:10" x14ac:dyDescent="0.25">
      <c r="A1847" s="204" t="s">
        <v>1900</v>
      </c>
      <c r="B1847" s="9" t="str">
        <f t="shared" si="58"/>
        <v>53153000</v>
      </c>
      <c r="C1847" s="9" t="str">
        <f>VLOOKUP(B1847,COA!A:B,2,FALSE)</f>
        <v>Contract Services - Accounting</v>
      </c>
      <c r="D1847" s="338" t="str">
        <f t="shared" si="57"/>
        <v>C6328</v>
      </c>
      <c r="E1847" s="338" t="s">
        <v>6900</v>
      </c>
      <c r="F1847" s="338" t="s">
        <v>6866</v>
      </c>
      <c r="G1847" s="338" t="s">
        <v>5</v>
      </c>
      <c r="H1847" s="204" t="s">
        <v>77</v>
      </c>
      <c r="I1847" s="204" t="s">
        <v>7494</v>
      </c>
    </row>
    <row r="1848" spans="1:10" x14ac:dyDescent="0.25">
      <c r="A1848" s="204" t="s">
        <v>1901</v>
      </c>
      <c r="B1848" s="9" t="str">
        <f t="shared" si="58"/>
        <v>53154000</v>
      </c>
      <c r="C1848" s="9" t="str">
        <f>VLOOKUP(B1848,COA!A:B,2,FALSE)</f>
        <v>Contract Services - Audit Fees</v>
      </c>
      <c r="D1848" s="338" t="str">
        <f t="shared" si="57"/>
        <v>C6328</v>
      </c>
      <c r="E1848" s="338" t="s">
        <v>6900</v>
      </c>
      <c r="F1848" s="338" t="s">
        <v>6866</v>
      </c>
      <c r="G1848" s="338" t="s">
        <v>5</v>
      </c>
      <c r="H1848" s="204" t="s">
        <v>77</v>
      </c>
      <c r="I1848" s="204" t="s">
        <v>7494</v>
      </c>
    </row>
    <row r="1849" spans="1:10" x14ac:dyDescent="0.25">
      <c r="A1849" s="204" t="s">
        <v>1902</v>
      </c>
      <c r="B1849" s="9" t="str">
        <f t="shared" si="58"/>
        <v>53155000</v>
      </c>
      <c r="C1849" s="9" t="str">
        <f>VLOOKUP(B1849,COA!A:B,2,FALSE)</f>
        <v>Contract Services - Legal</v>
      </c>
      <c r="D1849" s="338" t="str">
        <f t="shared" si="57"/>
        <v>C6338</v>
      </c>
      <c r="E1849" s="338" t="s">
        <v>6900</v>
      </c>
      <c r="F1849" s="338" t="s">
        <v>6866</v>
      </c>
      <c r="G1849" s="338" t="s">
        <v>5</v>
      </c>
      <c r="H1849" s="204" t="s">
        <v>77</v>
      </c>
      <c r="I1849" s="204" t="s">
        <v>7495</v>
      </c>
      <c r="J1849" s="205"/>
    </row>
    <row r="1850" spans="1:10" x14ac:dyDescent="0.25">
      <c r="A1850" s="204" t="s">
        <v>1903</v>
      </c>
      <c r="B1850" s="9" t="str">
        <f t="shared" si="58"/>
        <v>53156000</v>
      </c>
      <c r="C1850" s="9" t="str">
        <f>VLOOKUP(B1850,COA!A:B,2,FALSE)</f>
        <v>Contract Services - Litigation</v>
      </c>
      <c r="D1850" s="338" t="str">
        <f t="shared" si="57"/>
        <v>C6338</v>
      </c>
      <c r="E1850" s="338" t="s">
        <v>6900</v>
      </c>
      <c r="F1850" s="338" t="s">
        <v>6866</v>
      </c>
      <c r="G1850" s="338" t="s">
        <v>5</v>
      </c>
      <c r="H1850" s="204" t="s">
        <v>77</v>
      </c>
      <c r="I1850" s="204" t="s">
        <v>7495</v>
      </c>
    </row>
    <row r="1851" spans="1:10" x14ac:dyDescent="0.25">
      <c r="A1851" s="204" t="s">
        <v>1904</v>
      </c>
      <c r="B1851" s="9" t="str">
        <f t="shared" si="58"/>
        <v>53157000</v>
      </c>
      <c r="C1851" s="9" t="str">
        <f>VLOOKUP(B1851,COA!A:B,2,FALSE)</f>
        <v>Contract Services - Outplacement</v>
      </c>
      <c r="D1851" s="338" t="str">
        <f t="shared" si="57"/>
        <v>C6758</v>
      </c>
      <c r="E1851" s="338" t="s">
        <v>6900</v>
      </c>
      <c r="F1851" s="338" t="s">
        <v>6866</v>
      </c>
      <c r="G1851" s="338" t="s">
        <v>5</v>
      </c>
      <c r="H1851" s="204" t="s">
        <v>77</v>
      </c>
      <c r="I1851" s="204" t="s">
        <v>7465</v>
      </c>
    </row>
    <row r="1852" spans="1:10" x14ac:dyDescent="0.25">
      <c r="A1852" s="204" t="s">
        <v>1905</v>
      </c>
      <c r="B1852" s="9" t="str">
        <f t="shared" si="58"/>
        <v>53158000</v>
      </c>
      <c r="C1852" s="9" t="str">
        <f>VLOOKUP(B1852,COA!A:B,2,FALSE)</f>
        <v>Contract Services - BT Related Incr Ext Costs</v>
      </c>
      <c r="D1852" s="338" t="str">
        <f t="shared" si="57"/>
        <v>C6368</v>
      </c>
      <c r="E1852" s="338" t="s">
        <v>6900</v>
      </c>
      <c r="F1852" s="338" t="s">
        <v>6866</v>
      </c>
      <c r="G1852" s="338" t="s">
        <v>5</v>
      </c>
      <c r="H1852" s="204" t="s">
        <v>77</v>
      </c>
      <c r="I1852" s="204" t="s">
        <v>7488</v>
      </c>
    </row>
    <row r="1853" spans="1:10" x14ac:dyDescent="0.25">
      <c r="A1853" s="204" t="s">
        <v>1906</v>
      </c>
      <c r="B1853" s="9" t="str">
        <f t="shared" si="58"/>
        <v>53159000</v>
      </c>
      <c r="C1853" s="9" t="str">
        <f>VLOOKUP(B1853,COA!A:B,2,FALSE)</f>
        <v>Contract Services - Centrally Sponsored Projects</v>
      </c>
      <c r="D1853" s="338" t="str">
        <f t="shared" si="57"/>
        <v>C6338</v>
      </c>
      <c r="E1853" s="338" t="s">
        <v>6900</v>
      </c>
      <c r="F1853" s="338" t="s">
        <v>6866</v>
      </c>
      <c r="G1853" s="338" t="s">
        <v>5</v>
      </c>
      <c r="H1853" s="204" t="s">
        <v>77</v>
      </c>
      <c r="I1853" s="204" t="s">
        <v>7495</v>
      </c>
    </row>
    <row r="1854" spans="1:10" x14ac:dyDescent="0.25">
      <c r="A1854" s="204" t="s">
        <v>1907</v>
      </c>
      <c r="B1854" s="9" t="str">
        <f t="shared" si="58"/>
        <v>53159100</v>
      </c>
      <c r="C1854" s="9" t="str">
        <f>VLOOKUP(B1854,COA!A:B,2,FALSE)</f>
        <v>Contract Services - Hardware Services</v>
      </c>
      <c r="D1854" s="338" t="str">
        <f t="shared" si="57"/>
        <v>C6338</v>
      </c>
      <c r="E1854" s="338" t="s">
        <v>6900</v>
      </c>
      <c r="F1854" s="338" t="s">
        <v>6866</v>
      </c>
      <c r="G1854" s="338" t="s">
        <v>5</v>
      </c>
      <c r="H1854" s="204" t="s">
        <v>77</v>
      </c>
      <c r="I1854" s="204" t="s">
        <v>7495</v>
      </c>
    </row>
    <row r="1855" spans="1:10" x14ac:dyDescent="0.25">
      <c r="A1855" s="204" t="s">
        <v>1908</v>
      </c>
      <c r="B1855" s="9" t="str">
        <f t="shared" si="58"/>
        <v>53185000</v>
      </c>
      <c r="C1855" s="9" t="str">
        <f>VLOOKUP(B1855,COA!A:B,2,FALSE)</f>
        <v>Contract Services - Interco</v>
      </c>
      <c r="D1855" s="338" t="str">
        <f t="shared" si="57"/>
        <v>C6368</v>
      </c>
      <c r="E1855" s="338" t="s">
        <v>6900</v>
      </c>
      <c r="F1855" s="338" t="s">
        <v>6866</v>
      </c>
      <c r="G1855" s="338" t="s">
        <v>5</v>
      </c>
      <c r="H1855" s="204" t="s">
        <v>77</v>
      </c>
      <c r="I1855" s="204" t="s">
        <v>7488</v>
      </c>
    </row>
    <row r="1856" spans="1:10" x14ac:dyDescent="0.25">
      <c r="A1856" s="204" t="s">
        <v>1909</v>
      </c>
      <c r="B1856" s="9" t="str">
        <f t="shared" si="58"/>
        <v>53401000</v>
      </c>
      <c r="C1856" s="9" t="str">
        <f>VLOOKUP(B1856,COA!A:B,2,FALSE)</f>
        <v>AWWSC Services - Labor OPEX</v>
      </c>
      <c r="D1856" s="338" t="str">
        <f t="shared" si="57"/>
        <v>C6348</v>
      </c>
      <c r="E1856" s="338" t="s">
        <v>6900</v>
      </c>
      <c r="F1856" s="338" t="s">
        <v>6866</v>
      </c>
      <c r="G1856" s="338" t="s">
        <v>7184</v>
      </c>
      <c r="H1856" s="204" t="s">
        <v>77</v>
      </c>
      <c r="I1856" s="204" t="s">
        <v>7496</v>
      </c>
    </row>
    <row r="1857" spans="1:10" x14ac:dyDescent="0.25">
      <c r="A1857" s="204" t="s">
        <v>1910</v>
      </c>
      <c r="B1857" s="9" t="str">
        <f t="shared" si="58"/>
        <v>53401100</v>
      </c>
      <c r="C1857" s="9" t="str">
        <f>VLOOKUP(B1857,COA!A:B,2,FALSE)</f>
        <v>AWWSC Services - Pension OPEX</v>
      </c>
      <c r="D1857" s="338" t="str">
        <f t="shared" si="57"/>
        <v>C6348</v>
      </c>
      <c r="E1857" s="338" t="s">
        <v>6900</v>
      </c>
      <c r="F1857" s="338" t="s">
        <v>6866</v>
      </c>
      <c r="G1857" s="338" t="s">
        <v>7184</v>
      </c>
      <c r="H1857" s="204" t="s">
        <v>77</v>
      </c>
      <c r="I1857" s="204" t="s">
        <v>7496</v>
      </c>
      <c r="J1857" s="205"/>
    </row>
    <row r="1858" spans="1:10" x14ac:dyDescent="0.25">
      <c r="A1858" s="204" t="s">
        <v>1911</v>
      </c>
      <c r="B1858" s="9" t="str">
        <f t="shared" si="58"/>
        <v>53401200</v>
      </c>
      <c r="C1858" s="9" t="str">
        <f>VLOOKUP(B1858,COA!A:B,2,FALSE)</f>
        <v>AWWSC Services - Group Insurance OPEX</v>
      </c>
      <c r="D1858" s="338" t="str">
        <f t="shared" si="57"/>
        <v>C6348</v>
      </c>
      <c r="E1858" s="338" t="s">
        <v>6900</v>
      </c>
      <c r="F1858" s="338" t="s">
        <v>6866</v>
      </c>
      <c r="G1858" s="338" t="s">
        <v>7184</v>
      </c>
      <c r="H1858" s="204" t="s">
        <v>77</v>
      </c>
      <c r="I1858" s="204" t="s">
        <v>7496</v>
      </c>
    </row>
    <row r="1859" spans="1:10" x14ac:dyDescent="0.25">
      <c r="A1859" s="204" t="s">
        <v>1912</v>
      </c>
      <c r="B1859" s="9" t="str">
        <f t="shared" si="58"/>
        <v>53401300</v>
      </c>
      <c r="C1859" s="9" t="str">
        <f>VLOOKUP(B1859,COA!A:B,2,FALSE)</f>
        <v>AWWSC Services - Other Benefits OPEX</v>
      </c>
      <c r="D1859" s="338" t="str">
        <f t="shared" si="57"/>
        <v>C6348</v>
      </c>
      <c r="E1859" s="338" t="s">
        <v>6900</v>
      </c>
      <c r="F1859" s="338" t="s">
        <v>6866</v>
      </c>
      <c r="G1859" s="338" t="s">
        <v>7183</v>
      </c>
      <c r="H1859" s="204" t="s">
        <v>77</v>
      </c>
      <c r="I1859" s="204" t="s">
        <v>7496</v>
      </c>
    </row>
    <row r="1860" spans="1:10" x14ac:dyDescent="0.25">
      <c r="A1860" s="204" t="s">
        <v>1913</v>
      </c>
      <c r="B1860" s="9" t="str">
        <f t="shared" si="58"/>
        <v>53401400</v>
      </c>
      <c r="C1860" s="9" t="str">
        <f>VLOOKUP(B1860,COA!A:B,2,FALSE)</f>
        <v>AWWSC Services - Contracted Services OPEX</v>
      </c>
      <c r="D1860" s="338" t="str">
        <f t="shared" si="57"/>
        <v>C6348</v>
      </c>
      <c r="E1860" s="338" t="s">
        <v>6900</v>
      </c>
      <c r="F1860" s="338" t="s">
        <v>6866</v>
      </c>
      <c r="G1860" s="338" t="s">
        <v>7183</v>
      </c>
      <c r="H1860" s="204" t="s">
        <v>77</v>
      </c>
      <c r="I1860" s="204" t="s">
        <v>7496</v>
      </c>
    </row>
    <row r="1861" spans="1:10" x14ac:dyDescent="0.25">
      <c r="A1861" s="204" t="s">
        <v>1914</v>
      </c>
      <c r="B1861" s="9" t="str">
        <f t="shared" si="58"/>
        <v>53401500</v>
      </c>
      <c r="C1861" s="9" t="str">
        <f>VLOOKUP(B1861,COA!A:B,2,FALSE)</f>
        <v>AWWSC Services - Office Supplies OPEX</v>
      </c>
      <c r="D1861" s="338" t="str">
        <f t="shared" si="57"/>
        <v>C6348</v>
      </c>
      <c r="E1861" s="338" t="s">
        <v>6900</v>
      </c>
      <c r="F1861" s="338" t="s">
        <v>6866</v>
      </c>
      <c r="G1861" s="338" t="s">
        <v>7183</v>
      </c>
      <c r="H1861" s="204" t="s">
        <v>77</v>
      </c>
      <c r="I1861" s="204" t="s">
        <v>7496</v>
      </c>
    </row>
    <row r="1862" spans="1:10" x14ac:dyDescent="0.25">
      <c r="A1862" s="204" t="s">
        <v>1915</v>
      </c>
      <c r="B1862" s="9" t="str">
        <f t="shared" si="58"/>
        <v>53401700</v>
      </c>
      <c r="C1862" s="9" t="str">
        <f>VLOOKUP(B1862,COA!A:B,2,FALSE)</f>
        <v>AWWSC Services - Rents OPEX</v>
      </c>
      <c r="D1862" s="338" t="str">
        <f t="shared" si="57"/>
        <v>C6348</v>
      </c>
      <c r="E1862" s="338" t="s">
        <v>6900</v>
      </c>
      <c r="F1862" s="338" t="s">
        <v>6866</v>
      </c>
      <c r="G1862" s="338" t="s">
        <v>7183</v>
      </c>
      <c r="H1862" s="204" t="s">
        <v>77</v>
      </c>
      <c r="I1862" s="204" t="s">
        <v>7496</v>
      </c>
    </row>
    <row r="1863" spans="1:10" x14ac:dyDescent="0.25">
      <c r="A1863" s="204" t="s">
        <v>1916</v>
      </c>
      <c r="B1863" s="9" t="str">
        <f t="shared" si="58"/>
        <v>53401900</v>
      </c>
      <c r="C1863" s="9" t="str">
        <f>VLOOKUP(B1863,COA!A:B,2,FALSE)</f>
        <v>AWWSC Services - Maint Supplies &amp; Svcs OPEX</v>
      </c>
      <c r="D1863" s="338" t="str">
        <f t="shared" si="57"/>
        <v>C6348</v>
      </c>
      <c r="E1863" s="338" t="s">
        <v>6900</v>
      </c>
      <c r="F1863" s="338" t="s">
        <v>6866</v>
      </c>
      <c r="G1863" s="338" t="s">
        <v>7183</v>
      </c>
      <c r="H1863" s="204" t="s">
        <v>77</v>
      </c>
      <c r="I1863" s="204" t="s">
        <v>7496</v>
      </c>
    </row>
    <row r="1864" spans="1:10" x14ac:dyDescent="0.25">
      <c r="A1864" s="204" t="s">
        <v>1917</v>
      </c>
      <c r="B1864" s="9" t="str">
        <f t="shared" si="58"/>
        <v>53402100</v>
      </c>
      <c r="C1864" s="9" t="str">
        <f>VLOOKUP(B1864,COA!A:B,2,FALSE)</f>
        <v>AWWSC Services - Other O&amp;M Expense OPEX</v>
      </c>
      <c r="D1864" s="338" t="str">
        <f t="shared" si="57"/>
        <v>C6348</v>
      </c>
      <c r="E1864" s="338" t="s">
        <v>6900</v>
      </c>
      <c r="F1864" s="338" t="s">
        <v>6866</v>
      </c>
      <c r="G1864" s="338" t="s">
        <v>7183</v>
      </c>
      <c r="H1864" s="204" t="s">
        <v>77</v>
      </c>
      <c r="I1864" s="204" t="s">
        <v>7496</v>
      </c>
    </row>
    <row r="1865" spans="1:10" x14ac:dyDescent="0.25">
      <c r="A1865" s="204" t="s">
        <v>1918</v>
      </c>
      <c r="B1865" s="9" t="str">
        <f t="shared" si="58"/>
        <v>53402200</v>
      </c>
      <c r="C1865" s="9" t="str">
        <f>VLOOKUP(B1865,COA!A:B,2,FALSE)</f>
        <v>AWWSC Services - Depr &amp; Amort OPEX</v>
      </c>
      <c r="D1865" s="338" t="str">
        <f t="shared" si="57"/>
        <v>C6348</v>
      </c>
      <c r="E1865" s="338" t="s">
        <v>6900</v>
      </c>
      <c r="F1865" s="338" t="s">
        <v>6866</v>
      </c>
      <c r="G1865" s="338" t="s">
        <v>7183</v>
      </c>
      <c r="H1865" s="204" t="s">
        <v>77</v>
      </c>
      <c r="I1865" s="204" t="s">
        <v>7496</v>
      </c>
      <c r="J1865" s="205"/>
    </row>
    <row r="1866" spans="1:10" x14ac:dyDescent="0.25">
      <c r="A1866" s="204" t="s">
        <v>1919</v>
      </c>
      <c r="B1866" s="9" t="str">
        <f t="shared" si="58"/>
        <v>53402300</v>
      </c>
      <c r="C1866" s="9" t="str">
        <f>VLOOKUP(B1866,COA!A:B,2,FALSE)</f>
        <v>AWWSC Services - General Taxes OPEX</v>
      </c>
      <c r="D1866" s="338" t="str">
        <f t="shared" si="57"/>
        <v>C6348</v>
      </c>
      <c r="E1866" s="338" t="s">
        <v>6900</v>
      </c>
      <c r="F1866" s="338" t="s">
        <v>6866</v>
      </c>
      <c r="G1866" s="338" t="s">
        <v>7183</v>
      </c>
      <c r="H1866" s="204" t="s">
        <v>77</v>
      </c>
      <c r="I1866" s="204" t="s">
        <v>7496</v>
      </c>
    </row>
    <row r="1867" spans="1:10" x14ac:dyDescent="0.25">
      <c r="A1867" s="204" t="s">
        <v>1920</v>
      </c>
      <c r="B1867" s="9" t="str">
        <f t="shared" si="58"/>
        <v>53402400</v>
      </c>
      <c r="C1867" s="9" t="str">
        <f>VLOOKUP(B1867,COA!A:B,2,FALSE)</f>
        <v>AWWSC Services - Net Interest OPEX</v>
      </c>
      <c r="D1867" s="338" t="str">
        <f t="shared" ref="D1867:D1930" si="59">+I1867</f>
        <v>C6348</v>
      </c>
      <c r="E1867" s="338" t="s">
        <v>6900</v>
      </c>
      <c r="F1867" s="338" t="s">
        <v>6866</v>
      </c>
      <c r="G1867" s="338" t="s">
        <v>7183</v>
      </c>
      <c r="H1867" s="204" t="s">
        <v>77</v>
      </c>
      <c r="I1867" s="204" t="s">
        <v>7496</v>
      </c>
    </row>
    <row r="1868" spans="1:10" x14ac:dyDescent="0.25">
      <c r="A1868" s="204" t="s">
        <v>1921</v>
      </c>
      <c r="B1868" s="9" t="str">
        <f t="shared" si="58"/>
        <v>53402500</v>
      </c>
      <c r="C1868" s="9" t="str">
        <f>VLOOKUP(B1868,COA!A:B,2,FALSE)</f>
        <v>AWWSC Services - Other Inc &amp; Ded OPEX</v>
      </c>
      <c r="D1868" s="338" t="str">
        <f t="shared" si="59"/>
        <v>C6348</v>
      </c>
      <c r="E1868" s="338" t="s">
        <v>6900</v>
      </c>
      <c r="F1868" s="338" t="s">
        <v>6866</v>
      </c>
      <c r="G1868" s="338" t="s">
        <v>7183</v>
      </c>
      <c r="H1868" s="204" t="s">
        <v>77</v>
      </c>
      <c r="I1868" s="204" t="s">
        <v>7496</v>
      </c>
    </row>
    <row r="1869" spans="1:10" x14ac:dyDescent="0.25">
      <c r="A1869" s="204" t="s">
        <v>1922</v>
      </c>
      <c r="B1869" s="9" t="str">
        <f t="shared" si="58"/>
        <v>53402600</v>
      </c>
      <c r="C1869" s="9" t="str">
        <f>VLOOKUP(B1869,COA!A:B,2,FALSE)</f>
        <v>AWWSC Services - Income Taxes OPEX</v>
      </c>
      <c r="D1869" s="338" t="str">
        <f t="shared" si="59"/>
        <v>C6348</v>
      </c>
      <c r="E1869" s="338" t="s">
        <v>6900</v>
      </c>
      <c r="F1869" s="338" t="s">
        <v>6866</v>
      </c>
      <c r="G1869" s="338" t="s">
        <v>7183</v>
      </c>
      <c r="H1869" s="204" t="s">
        <v>77</v>
      </c>
      <c r="I1869" s="204" t="s">
        <v>7496</v>
      </c>
    </row>
    <row r="1870" spans="1:10" x14ac:dyDescent="0.25">
      <c r="A1870" s="204" t="s">
        <v>1923</v>
      </c>
      <c r="B1870" s="9" t="str">
        <f t="shared" si="58"/>
        <v>53409999</v>
      </c>
      <c r="C1870" s="9" t="str">
        <f>VLOOKUP(B1870,COA!A:B,2,FALSE)</f>
        <v>AWWSC Services - Conversion</v>
      </c>
      <c r="D1870" s="338" t="str">
        <f t="shared" si="59"/>
        <v>C6348</v>
      </c>
      <c r="E1870" s="338" t="s">
        <v>6900</v>
      </c>
      <c r="F1870" s="338" t="s">
        <v>6866</v>
      </c>
      <c r="G1870" s="338" t="s">
        <v>7183</v>
      </c>
      <c r="H1870" s="204" t="s">
        <v>77</v>
      </c>
      <c r="I1870" s="204" t="s">
        <v>7496</v>
      </c>
    </row>
    <row r="1871" spans="1:10" x14ac:dyDescent="0.25">
      <c r="A1871" s="204" t="s">
        <v>1924</v>
      </c>
      <c r="B1871" s="9" t="str">
        <f t="shared" si="58"/>
        <v>53481000</v>
      </c>
      <c r="C1871" s="9" t="str">
        <f>VLOOKUP(B1871,COA!A:B,2,FALSE)</f>
        <v>AWWSC Services - Labor CAPX</v>
      </c>
      <c r="D1871" s="338" t="str">
        <f t="shared" si="59"/>
        <v>C6348</v>
      </c>
      <c r="E1871" s="338" t="s">
        <v>6900</v>
      </c>
      <c r="F1871" s="338" t="s">
        <v>6866</v>
      </c>
      <c r="G1871" s="338" t="s">
        <v>7184</v>
      </c>
      <c r="H1871" s="204" t="s">
        <v>77</v>
      </c>
      <c r="I1871" s="204" t="s">
        <v>7496</v>
      </c>
      <c r="J1871" s="205"/>
    </row>
    <row r="1872" spans="1:10" x14ac:dyDescent="0.25">
      <c r="A1872" s="204" t="s">
        <v>1925</v>
      </c>
      <c r="B1872" s="9" t="str">
        <f t="shared" si="58"/>
        <v>53481100</v>
      </c>
      <c r="C1872" s="9" t="str">
        <f>VLOOKUP(B1872,COA!A:B,2,FALSE)</f>
        <v>AWWSC Services - Pension CAPX</v>
      </c>
      <c r="D1872" s="338" t="str">
        <f t="shared" si="59"/>
        <v>C6348</v>
      </c>
      <c r="E1872" s="338" t="s">
        <v>6900</v>
      </c>
      <c r="F1872" s="338" t="s">
        <v>6866</v>
      </c>
      <c r="G1872" s="338" t="s">
        <v>7184</v>
      </c>
      <c r="H1872" s="204" t="s">
        <v>77</v>
      </c>
      <c r="I1872" s="204" t="s">
        <v>7496</v>
      </c>
    </row>
    <row r="1873" spans="1:9" x14ac:dyDescent="0.25">
      <c r="A1873" s="204" t="s">
        <v>1926</v>
      </c>
      <c r="B1873" s="9" t="str">
        <f t="shared" si="58"/>
        <v>53481200</v>
      </c>
      <c r="C1873" s="9" t="str">
        <f>VLOOKUP(B1873,COA!A:B,2,FALSE)</f>
        <v>AWWSC Services - Group Insurance CAPX</v>
      </c>
      <c r="D1873" s="338" t="str">
        <f t="shared" si="59"/>
        <v>C6348</v>
      </c>
      <c r="E1873" s="338" t="s">
        <v>6900</v>
      </c>
      <c r="F1873" s="338" t="s">
        <v>6866</v>
      </c>
      <c r="G1873" s="338" t="s">
        <v>7184</v>
      </c>
      <c r="H1873" s="204" t="s">
        <v>77</v>
      </c>
      <c r="I1873" s="204" t="s">
        <v>7496</v>
      </c>
    </row>
    <row r="1874" spans="1:9" x14ac:dyDescent="0.25">
      <c r="A1874" s="204" t="s">
        <v>1927</v>
      </c>
      <c r="B1874" s="9" t="str">
        <f t="shared" si="58"/>
        <v>53481300</v>
      </c>
      <c r="C1874" s="9" t="str">
        <f>VLOOKUP(B1874,COA!A:B,2,FALSE)</f>
        <v>AWWSC Services - Other Benefits CAPX</v>
      </c>
      <c r="D1874" s="338" t="str">
        <f t="shared" si="59"/>
        <v>C6348</v>
      </c>
      <c r="E1874" s="338" t="s">
        <v>6900</v>
      </c>
      <c r="F1874" s="338" t="s">
        <v>6866</v>
      </c>
      <c r="G1874" s="338" t="s">
        <v>7183</v>
      </c>
      <c r="H1874" s="204" t="s">
        <v>77</v>
      </c>
      <c r="I1874" s="204" t="s">
        <v>7496</v>
      </c>
    </row>
    <row r="1875" spans="1:9" x14ac:dyDescent="0.25">
      <c r="A1875" s="204" t="s">
        <v>1928</v>
      </c>
      <c r="B1875" s="9" t="str">
        <f t="shared" si="58"/>
        <v>53481400</v>
      </c>
      <c r="C1875" s="9" t="str">
        <f>VLOOKUP(B1875,COA!A:B,2,FALSE)</f>
        <v>AWWSC Services - Contracted Services CAPX</v>
      </c>
      <c r="D1875" s="338" t="str">
        <f t="shared" si="59"/>
        <v>C6348</v>
      </c>
      <c r="E1875" s="338" t="s">
        <v>6900</v>
      </c>
      <c r="F1875" s="338" t="s">
        <v>6866</v>
      </c>
      <c r="G1875" s="338" t="s">
        <v>7183</v>
      </c>
      <c r="H1875" s="204" t="s">
        <v>77</v>
      </c>
      <c r="I1875" s="204" t="s">
        <v>7496</v>
      </c>
    </row>
    <row r="1876" spans="1:9" x14ac:dyDescent="0.25">
      <c r="A1876" s="204" t="s">
        <v>1929</v>
      </c>
      <c r="B1876" s="9" t="str">
        <f t="shared" si="58"/>
        <v>53481500</v>
      </c>
      <c r="C1876" s="9" t="str">
        <f>VLOOKUP(B1876,COA!A:B,2,FALSE)</f>
        <v>AWWSC Services - Office Supplies CAPX</v>
      </c>
      <c r="D1876" s="338" t="str">
        <f t="shared" si="59"/>
        <v>C6348</v>
      </c>
      <c r="E1876" s="338" t="s">
        <v>6900</v>
      </c>
      <c r="F1876" s="338" t="s">
        <v>6866</v>
      </c>
      <c r="G1876" s="338" t="s">
        <v>7183</v>
      </c>
      <c r="H1876" s="204" t="s">
        <v>77</v>
      </c>
      <c r="I1876" s="204" t="s">
        <v>7496</v>
      </c>
    </row>
    <row r="1877" spans="1:9" x14ac:dyDescent="0.25">
      <c r="A1877" s="204" t="s">
        <v>1930</v>
      </c>
      <c r="B1877" s="9" t="str">
        <f t="shared" si="58"/>
        <v>53481700</v>
      </c>
      <c r="C1877" s="9" t="str">
        <f>VLOOKUP(B1877,COA!A:B,2,FALSE)</f>
        <v>AWWSC Services - Rents CAPX</v>
      </c>
      <c r="D1877" s="338" t="str">
        <f t="shared" si="59"/>
        <v>C6348</v>
      </c>
      <c r="E1877" s="338" t="s">
        <v>6900</v>
      </c>
      <c r="F1877" s="338" t="s">
        <v>6866</v>
      </c>
      <c r="G1877" s="338" t="s">
        <v>7183</v>
      </c>
      <c r="H1877" s="204" t="s">
        <v>77</v>
      </c>
      <c r="I1877" s="204" t="s">
        <v>7496</v>
      </c>
    </row>
    <row r="1878" spans="1:9" x14ac:dyDescent="0.25">
      <c r="A1878" s="204" t="s">
        <v>1931</v>
      </c>
      <c r="B1878" s="9" t="str">
        <f t="shared" si="58"/>
        <v>53481900</v>
      </c>
      <c r="C1878" s="9" t="str">
        <f>VLOOKUP(B1878,COA!A:B,2,FALSE)</f>
        <v>AWWSC Services - Maint Supplies &amp; Svcs CAPX</v>
      </c>
      <c r="D1878" s="338" t="str">
        <f t="shared" si="59"/>
        <v>C6348</v>
      </c>
      <c r="E1878" s="338" t="s">
        <v>6900</v>
      </c>
      <c r="F1878" s="338" t="s">
        <v>6866</v>
      </c>
      <c r="G1878" s="338" t="s">
        <v>7183</v>
      </c>
      <c r="H1878" s="204" t="s">
        <v>77</v>
      </c>
      <c r="I1878" s="204" t="s">
        <v>7496</v>
      </c>
    </row>
    <row r="1879" spans="1:9" x14ac:dyDescent="0.25">
      <c r="A1879" s="204" t="s">
        <v>1932</v>
      </c>
      <c r="B1879" s="9" t="str">
        <f t="shared" si="58"/>
        <v>53482100</v>
      </c>
      <c r="C1879" s="9" t="str">
        <f>VLOOKUP(B1879,COA!A:B,2,FALSE)</f>
        <v>AWWSC Services - Other O&amp;M Expense CAPX</v>
      </c>
      <c r="D1879" s="338" t="str">
        <f t="shared" si="59"/>
        <v>C6348</v>
      </c>
      <c r="E1879" s="338" t="s">
        <v>6900</v>
      </c>
      <c r="F1879" s="338" t="s">
        <v>6866</v>
      </c>
      <c r="G1879" s="338" t="s">
        <v>7183</v>
      </c>
      <c r="H1879" s="204" t="s">
        <v>77</v>
      </c>
      <c r="I1879" s="204" t="s">
        <v>7496</v>
      </c>
    </row>
    <row r="1880" spans="1:9" x14ac:dyDescent="0.25">
      <c r="A1880" s="204" t="s">
        <v>1933</v>
      </c>
      <c r="B1880" s="9" t="str">
        <f t="shared" si="58"/>
        <v>53482200</v>
      </c>
      <c r="C1880" s="9" t="str">
        <f>VLOOKUP(B1880,COA!A:B,2,FALSE)</f>
        <v>AWWSC Services - Depr &amp; Amort CAPX</v>
      </c>
      <c r="D1880" s="338" t="str">
        <f t="shared" si="59"/>
        <v>C6348</v>
      </c>
      <c r="E1880" s="338" t="s">
        <v>6900</v>
      </c>
      <c r="F1880" s="338" t="s">
        <v>6866</v>
      </c>
      <c r="G1880" s="338" t="s">
        <v>7183</v>
      </c>
      <c r="H1880" s="204" t="s">
        <v>77</v>
      </c>
      <c r="I1880" s="204" t="s">
        <v>7496</v>
      </c>
    </row>
    <row r="1881" spans="1:9" x14ac:dyDescent="0.25">
      <c r="A1881" s="204" t="s">
        <v>1934</v>
      </c>
      <c r="B1881" s="9" t="str">
        <f t="shared" si="58"/>
        <v>53482300</v>
      </c>
      <c r="C1881" s="9" t="str">
        <f>VLOOKUP(B1881,COA!A:B,2,FALSE)</f>
        <v>AWWSC Services - General Taxes CAPX</v>
      </c>
      <c r="D1881" s="338" t="str">
        <f t="shared" si="59"/>
        <v>C6348</v>
      </c>
      <c r="E1881" s="338" t="s">
        <v>6900</v>
      </c>
      <c r="F1881" s="338" t="s">
        <v>6866</v>
      </c>
      <c r="G1881" s="338" t="s">
        <v>7183</v>
      </c>
      <c r="H1881" s="204" t="s">
        <v>77</v>
      </c>
      <c r="I1881" s="204" t="s">
        <v>7496</v>
      </c>
    </row>
    <row r="1882" spans="1:9" x14ac:dyDescent="0.25">
      <c r="A1882" s="204" t="s">
        <v>1935</v>
      </c>
      <c r="B1882" s="9" t="str">
        <f t="shared" si="58"/>
        <v>53482400</v>
      </c>
      <c r="C1882" s="9" t="str">
        <f>VLOOKUP(B1882,COA!A:B,2,FALSE)</f>
        <v>AWWSC Services - Net Interest CAPX</v>
      </c>
      <c r="D1882" s="338" t="str">
        <f t="shared" si="59"/>
        <v>C6348</v>
      </c>
      <c r="E1882" s="338" t="s">
        <v>6900</v>
      </c>
      <c r="F1882" s="338" t="s">
        <v>6866</v>
      </c>
      <c r="G1882" s="338" t="s">
        <v>7183</v>
      </c>
      <c r="H1882" s="204" t="s">
        <v>77</v>
      </c>
      <c r="I1882" s="204" t="s">
        <v>7496</v>
      </c>
    </row>
    <row r="1883" spans="1:9" x14ac:dyDescent="0.25">
      <c r="A1883" s="204" t="s">
        <v>1936</v>
      </c>
      <c r="B1883" s="9" t="str">
        <f t="shared" si="58"/>
        <v>53482500</v>
      </c>
      <c r="C1883" s="9" t="str">
        <f>VLOOKUP(B1883,COA!A:B,2,FALSE)</f>
        <v>AWWSC Services - Other Inc &amp; Ded CAPX</v>
      </c>
      <c r="D1883" s="338" t="str">
        <f t="shared" si="59"/>
        <v>C6348</v>
      </c>
      <c r="E1883" s="338" t="s">
        <v>6900</v>
      </c>
      <c r="F1883" s="338" t="s">
        <v>6866</v>
      </c>
      <c r="G1883" s="338" t="s">
        <v>7183</v>
      </c>
      <c r="H1883" s="204" t="s">
        <v>77</v>
      </c>
      <c r="I1883" s="204" t="s">
        <v>7496</v>
      </c>
    </row>
    <row r="1884" spans="1:9" x14ac:dyDescent="0.25">
      <c r="A1884" s="204" t="s">
        <v>1937</v>
      </c>
      <c r="B1884" s="9" t="str">
        <f t="shared" si="58"/>
        <v>53482600</v>
      </c>
      <c r="C1884" s="9" t="str">
        <f>VLOOKUP(B1884,COA!A:B,2,FALSE)</f>
        <v>AWWSC Services - Income Taxes CAPX</v>
      </c>
      <c r="D1884" s="338" t="str">
        <f t="shared" si="59"/>
        <v>C6348</v>
      </c>
      <c r="E1884" s="338" t="s">
        <v>6900</v>
      </c>
      <c r="F1884" s="338" t="s">
        <v>6866</v>
      </c>
      <c r="G1884" s="338" t="s">
        <v>7183</v>
      </c>
      <c r="H1884" s="204" t="s">
        <v>77</v>
      </c>
      <c r="I1884" s="204" t="s">
        <v>7496</v>
      </c>
    </row>
    <row r="1885" spans="1:9" x14ac:dyDescent="0.25">
      <c r="A1885" s="204" t="s">
        <v>1938</v>
      </c>
      <c r="B1885" s="9" t="str">
        <f t="shared" si="58"/>
        <v>54110000</v>
      </c>
      <c r="C1885" s="9" t="str">
        <f>VLOOKUP(B1885,COA!A:B,2,FALSE)</f>
        <v>Rents-Real Property - Natural Account</v>
      </c>
      <c r="D1885" s="338" t="str">
        <f t="shared" si="59"/>
        <v>C6418</v>
      </c>
      <c r="E1885" s="338" t="s">
        <v>6900</v>
      </c>
      <c r="G1885" s="338" t="s">
        <v>6867</v>
      </c>
      <c r="H1885" s="204" t="s">
        <v>77</v>
      </c>
      <c r="I1885" s="204" t="s">
        <v>7497</v>
      </c>
    </row>
    <row r="1886" spans="1:9" x14ac:dyDescent="0.25">
      <c r="A1886" s="204" t="s">
        <v>1939</v>
      </c>
      <c r="B1886" s="9" t="str">
        <f t="shared" si="58"/>
        <v>54110011</v>
      </c>
      <c r="C1886" s="9" t="str">
        <f>VLOOKUP(B1886,COA!A:B,2,FALSE)</f>
        <v>Rents-Real Property - Source of Supply</v>
      </c>
      <c r="D1886" s="338" t="str">
        <f t="shared" si="59"/>
        <v>C6411</v>
      </c>
      <c r="E1886" s="338" t="s">
        <v>6900</v>
      </c>
      <c r="F1886" s="338" t="s">
        <v>23</v>
      </c>
      <c r="G1886" s="338" t="s">
        <v>6867</v>
      </c>
      <c r="H1886" s="204" t="s">
        <v>77</v>
      </c>
      <c r="I1886" s="204" t="s">
        <v>7498</v>
      </c>
    </row>
    <row r="1887" spans="1:9" x14ac:dyDescent="0.25">
      <c r="A1887" s="204" t="s">
        <v>1940</v>
      </c>
      <c r="B1887" s="9" t="str">
        <f t="shared" si="58"/>
        <v>54110012</v>
      </c>
      <c r="C1887" s="9" t="str">
        <f>VLOOKUP(B1887,COA!A:B,2,FALSE)</f>
        <v>Rents-Real Property - Pumping</v>
      </c>
      <c r="D1887" s="338" t="str">
        <f t="shared" si="59"/>
        <v>C6411</v>
      </c>
      <c r="E1887" s="338" t="s">
        <v>6900</v>
      </c>
      <c r="F1887" s="338" t="s">
        <v>6865</v>
      </c>
      <c r="G1887" s="338" t="s">
        <v>6867</v>
      </c>
      <c r="H1887" s="204" t="s">
        <v>77</v>
      </c>
      <c r="I1887" s="204" t="s">
        <v>7498</v>
      </c>
    </row>
    <row r="1888" spans="1:9" x14ac:dyDescent="0.25">
      <c r="A1888" s="204" t="s">
        <v>1941</v>
      </c>
      <c r="B1888" s="9" t="str">
        <f t="shared" si="58"/>
        <v>54110013</v>
      </c>
      <c r="C1888" s="9" t="str">
        <f>VLOOKUP(B1888,COA!A:B,2,FALSE)</f>
        <v>Rents-Real Property - Water Treatment</v>
      </c>
      <c r="D1888" s="338" t="str">
        <f t="shared" si="59"/>
        <v>C6413</v>
      </c>
      <c r="E1888" s="338" t="s">
        <v>6900</v>
      </c>
      <c r="F1888" s="338" t="s">
        <v>9</v>
      </c>
      <c r="G1888" s="338" t="s">
        <v>6867</v>
      </c>
      <c r="H1888" s="204" t="s">
        <v>77</v>
      </c>
      <c r="I1888" s="204" t="s">
        <v>7499</v>
      </c>
    </row>
    <row r="1889" spans="1:9" x14ac:dyDescent="0.25">
      <c r="A1889" s="204" t="s">
        <v>1942</v>
      </c>
      <c r="B1889" s="9" t="str">
        <f t="shared" si="58"/>
        <v>54110014</v>
      </c>
      <c r="C1889" s="9" t="str">
        <f>VLOOKUP(B1889,COA!A:B,2,FALSE)</f>
        <v>Rents-Real Property - Transmission &amp; Distribution</v>
      </c>
      <c r="D1889" s="338" t="str">
        <f t="shared" si="59"/>
        <v>C6415</v>
      </c>
      <c r="E1889" s="338" t="s">
        <v>6900</v>
      </c>
      <c r="F1889" s="338" t="s">
        <v>6978</v>
      </c>
      <c r="G1889" s="338" t="s">
        <v>6867</v>
      </c>
      <c r="H1889" s="204" t="s">
        <v>77</v>
      </c>
      <c r="I1889" s="204" t="s">
        <v>7500</v>
      </c>
    </row>
    <row r="1890" spans="1:9" x14ac:dyDescent="0.25">
      <c r="A1890" s="204" t="s">
        <v>1943</v>
      </c>
      <c r="B1890" s="9" t="str">
        <f t="shared" si="58"/>
        <v>54110015</v>
      </c>
      <c r="C1890" s="9" t="str">
        <f>VLOOKUP(B1890,COA!A:B,2,FALSE)</f>
        <v>Rents-Real Property - Customer Accounting</v>
      </c>
      <c r="D1890" s="338" t="str">
        <f t="shared" si="59"/>
        <v>C6417</v>
      </c>
      <c r="E1890" s="338" t="s">
        <v>6900</v>
      </c>
      <c r="F1890" s="338" t="s">
        <v>6958</v>
      </c>
      <c r="G1890" s="338" t="s">
        <v>6867</v>
      </c>
      <c r="H1890" s="204" t="s">
        <v>77</v>
      </c>
      <c r="I1890" s="204" t="s">
        <v>7501</v>
      </c>
    </row>
    <row r="1891" spans="1:9" x14ac:dyDescent="0.25">
      <c r="A1891" s="204" t="s">
        <v>1944</v>
      </c>
      <c r="B1891" s="9" t="str">
        <f t="shared" si="58"/>
        <v>54110016</v>
      </c>
      <c r="C1891" s="9" t="str">
        <f>VLOOKUP(B1891,COA!A:B,2,FALSE)</f>
        <v>Rents-Real Property - Admin &amp; General</v>
      </c>
      <c r="D1891" s="338" t="str">
        <f t="shared" si="59"/>
        <v>C6418</v>
      </c>
      <c r="E1891" s="338" t="s">
        <v>6900</v>
      </c>
      <c r="F1891" s="338" t="s">
        <v>6866</v>
      </c>
      <c r="G1891" s="338" t="s">
        <v>6867</v>
      </c>
      <c r="H1891" s="204" t="s">
        <v>77</v>
      </c>
      <c r="I1891" s="204" t="s">
        <v>7497</v>
      </c>
    </row>
    <row r="1892" spans="1:9" x14ac:dyDescent="0.25">
      <c r="A1892" s="204" t="s">
        <v>1945</v>
      </c>
      <c r="B1892" s="9" t="str">
        <f t="shared" si="58"/>
        <v>54115000</v>
      </c>
      <c r="C1892" s="9" t="str">
        <f>VLOOKUP(B1892,COA!A:B,2,FALSE)</f>
        <v>Rents-Real Property Interco</v>
      </c>
      <c r="D1892" s="338" t="str">
        <f t="shared" si="59"/>
        <v>C6418</v>
      </c>
      <c r="E1892" s="338" t="s">
        <v>6900</v>
      </c>
      <c r="G1892" s="338" t="s">
        <v>6867</v>
      </c>
      <c r="H1892" s="204" t="s">
        <v>77</v>
      </c>
      <c r="I1892" s="204" t="s">
        <v>7497</v>
      </c>
    </row>
    <row r="1893" spans="1:9" x14ac:dyDescent="0.25">
      <c r="A1893" s="204" t="s">
        <v>1946</v>
      </c>
      <c r="B1893" s="9" t="str">
        <f t="shared" si="58"/>
        <v>54140000</v>
      </c>
      <c r="C1893" s="9" t="str">
        <f>VLOOKUP(B1893,COA!A:B,2,FALSE)</f>
        <v>Rents-Equipment - Natural Account</v>
      </c>
      <c r="D1893" s="338" t="str">
        <f t="shared" si="59"/>
        <v>C6428</v>
      </c>
      <c r="E1893" s="338" t="s">
        <v>6900</v>
      </c>
      <c r="G1893" s="338" t="s">
        <v>6868</v>
      </c>
      <c r="H1893" s="204" t="s">
        <v>77</v>
      </c>
      <c r="I1893" s="204" t="s">
        <v>7502</v>
      </c>
    </row>
    <row r="1894" spans="1:9" x14ac:dyDescent="0.25">
      <c r="A1894" s="204" t="s">
        <v>1947</v>
      </c>
      <c r="B1894" s="9" t="str">
        <f t="shared" si="58"/>
        <v>54140011</v>
      </c>
      <c r="C1894" s="9" t="str">
        <f>VLOOKUP(B1894,COA!A:B,2,FALSE)</f>
        <v>Rents-Equipment - Source of Supply</v>
      </c>
      <c r="D1894" s="338" t="str">
        <f t="shared" si="59"/>
        <v>C6421</v>
      </c>
      <c r="E1894" s="338" t="s">
        <v>6900</v>
      </c>
      <c r="F1894" s="338" t="s">
        <v>23</v>
      </c>
      <c r="G1894" s="338" t="s">
        <v>6868</v>
      </c>
      <c r="H1894" s="204" t="s">
        <v>77</v>
      </c>
      <c r="I1894" s="204" t="s">
        <v>7503</v>
      </c>
    </row>
    <row r="1895" spans="1:9" x14ac:dyDescent="0.25">
      <c r="A1895" s="204" t="s">
        <v>1948</v>
      </c>
      <c r="B1895" s="9" t="str">
        <f t="shared" si="58"/>
        <v>54140012</v>
      </c>
      <c r="C1895" s="9" t="str">
        <f>VLOOKUP(B1895,COA!A:B,2,FALSE)</f>
        <v>Rents-Equipment - Pumping</v>
      </c>
      <c r="D1895" s="338" t="str">
        <f t="shared" si="59"/>
        <v>C6421</v>
      </c>
      <c r="E1895" s="338" t="s">
        <v>6900</v>
      </c>
      <c r="F1895" s="338" t="s">
        <v>6865</v>
      </c>
      <c r="G1895" s="338" t="s">
        <v>6868</v>
      </c>
      <c r="H1895" s="204" t="s">
        <v>77</v>
      </c>
      <c r="I1895" s="204" t="s">
        <v>7503</v>
      </c>
    </row>
    <row r="1896" spans="1:9" x14ac:dyDescent="0.25">
      <c r="A1896" s="204" t="s">
        <v>1949</v>
      </c>
      <c r="B1896" s="9" t="str">
        <f t="shared" si="58"/>
        <v>54140013</v>
      </c>
      <c r="C1896" s="9" t="str">
        <f>VLOOKUP(B1896,COA!A:B,2,FALSE)</f>
        <v>Rents-Equipment - Water Treatment</v>
      </c>
      <c r="D1896" s="338" t="str">
        <f t="shared" si="59"/>
        <v>C6423</v>
      </c>
      <c r="E1896" s="338" t="s">
        <v>6900</v>
      </c>
      <c r="F1896" s="338" t="s">
        <v>9</v>
      </c>
      <c r="G1896" s="338" t="s">
        <v>6868</v>
      </c>
      <c r="H1896" s="204" t="s">
        <v>77</v>
      </c>
      <c r="I1896" s="204" t="s">
        <v>7504</v>
      </c>
    </row>
    <row r="1897" spans="1:9" x14ac:dyDescent="0.25">
      <c r="A1897" s="204" t="s">
        <v>1950</v>
      </c>
      <c r="B1897" s="9" t="str">
        <f t="shared" si="58"/>
        <v>54140014</v>
      </c>
      <c r="C1897" s="9" t="str">
        <f>VLOOKUP(B1897,COA!A:B,2,FALSE)</f>
        <v>Rents-Equipment - Transmission &amp; Distribution</v>
      </c>
      <c r="D1897" s="338" t="str">
        <f t="shared" si="59"/>
        <v>C6425</v>
      </c>
      <c r="E1897" s="338" t="s">
        <v>6900</v>
      </c>
      <c r="F1897" s="338" t="s">
        <v>6978</v>
      </c>
      <c r="G1897" s="338" t="s">
        <v>6868</v>
      </c>
      <c r="H1897" s="204" t="s">
        <v>77</v>
      </c>
      <c r="I1897" s="204" t="s">
        <v>7505</v>
      </c>
    </row>
    <row r="1898" spans="1:9" x14ac:dyDescent="0.25">
      <c r="A1898" s="204" t="s">
        <v>1951</v>
      </c>
      <c r="B1898" s="9" t="str">
        <f t="shared" si="58"/>
        <v>54140015</v>
      </c>
      <c r="C1898" s="9" t="str">
        <f>VLOOKUP(B1898,COA!A:B,2,FALSE)</f>
        <v>Rents-Equipment - Customer Accounting</v>
      </c>
      <c r="D1898" s="338" t="str">
        <f t="shared" si="59"/>
        <v>C6427</v>
      </c>
      <c r="E1898" s="338" t="s">
        <v>6900</v>
      </c>
      <c r="F1898" s="338" t="s">
        <v>6958</v>
      </c>
      <c r="G1898" s="338" t="s">
        <v>6868</v>
      </c>
      <c r="H1898" s="204" t="s">
        <v>77</v>
      </c>
      <c r="I1898" s="204" t="s">
        <v>7506</v>
      </c>
    </row>
    <row r="1899" spans="1:9" x14ac:dyDescent="0.25">
      <c r="A1899" s="204" t="s">
        <v>1952</v>
      </c>
      <c r="B1899" s="9" t="str">
        <f t="shared" si="58"/>
        <v>54140016</v>
      </c>
      <c r="C1899" s="9" t="str">
        <f>VLOOKUP(B1899,COA!A:B,2,FALSE)</f>
        <v>Rents-Equipment - Admin &amp; General</v>
      </c>
      <c r="D1899" s="338" t="str">
        <f t="shared" si="59"/>
        <v>C6428</v>
      </c>
      <c r="E1899" s="338" t="s">
        <v>6900</v>
      </c>
      <c r="F1899" s="338" t="s">
        <v>6866</v>
      </c>
      <c r="G1899" s="338" t="s">
        <v>6868</v>
      </c>
      <c r="H1899" s="204" t="s">
        <v>77</v>
      </c>
      <c r="I1899" s="204" t="s">
        <v>7502</v>
      </c>
    </row>
    <row r="1900" spans="1:9" x14ac:dyDescent="0.25">
      <c r="A1900" s="204" t="s">
        <v>1953</v>
      </c>
      <c r="B1900" s="9" t="str">
        <f t="shared" si="58"/>
        <v>54145000</v>
      </c>
      <c r="C1900" s="9" t="str">
        <f>VLOOKUP(B1900,COA!A:B,2,FALSE)</f>
        <v>Rents-Equipment Intercompany</v>
      </c>
      <c r="D1900" s="338" t="str">
        <f t="shared" si="59"/>
        <v>C6418</v>
      </c>
      <c r="E1900" s="338" t="s">
        <v>6900</v>
      </c>
      <c r="G1900" s="338" t="s">
        <v>6868</v>
      </c>
      <c r="H1900" s="204" t="s">
        <v>77</v>
      </c>
      <c r="I1900" s="204" t="s">
        <v>7497</v>
      </c>
    </row>
    <row r="1901" spans="1:9" x14ac:dyDescent="0.25">
      <c r="A1901" s="204" t="s">
        <v>1954</v>
      </c>
      <c r="B1901" s="9" t="str">
        <f t="shared" si="58"/>
        <v>55000000</v>
      </c>
      <c r="C1901" s="9" t="str">
        <f>VLOOKUP(B1901,COA!A:B,2,FALSE)</f>
        <v>Transportation (O&amp;M) - Natural Account</v>
      </c>
      <c r="D1901" s="338" t="str">
        <f t="shared" si="59"/>
        <v>C6508</v>
      </c>
      <c r="E1901" s="338" t="s">
        <v>6900</v>
      </c>
      <c r="F1901" s="338" t="s">
        <v>6866</v>
      </c>
      <c r="G1901" s="338" t="s">
        <v>6</v>
      </c>
      <c r="H1901" s="204" t="s">
        <v>77</v>
      </c>
      <c r="I1901" s="204" t="s">
        <v>7507</v>
      </c>
    </row>
    <row r="1902" spans="1:9" x14ac:dyDescent="0.25">
      <c r="A1902" s="204" t="s">
        <v>1955</v>
      </c>
      <c r="B1902" s="9" t="str">
        <f t="shared" ref="B1902:B1965" si="60">RIGHT(A1902,8)</f>
        <v>55000011</v>
      </c>
      <c r="C1902" s="9" t="str">
        <f>VLOOKUP(B1902,COA!A:B,2,FALSE)</f>
        <v>Transportation Oper - Source of Supply</v>
      </c>
      <c r="D1902" s="338" t="str">
        <f t="shared" si="59"/>
        <v>C6501</v>
      </c>
      <c r="E1902" s="338" t="s">
        <v>6900</v>
      </c>
      <c r="F1902" s="338" t="s">
        <v>23</v>
      </c>
      <c r="G1902" s="338" t="s">
        <v>6</v>
      </c>
      <c r="H1902" s="204" t="s">
        <v>77</v>
      </c>
      <c r="I1902" s="204" t="s">
        <v>7508</v>
      </c>
    </row>
    <row r="1903" spans="1:9" x14ac:dyDescent="0.25">
      <c r="A1903" s="204" t="s">
        <v>1956</v>
      </c>
      <c r="B1903" s="9" t="str">
        <f t="shared" si="60"/>
        <v>55000012</v>
      </c>
      <c r="C1903" s="9" t="str">
        <f>VLOOKUP(B1903,COA!A:B,2,FALSE)</f>
        <v>Transportation Oper - Pumping</v>
      </c>
      <c r="D1903" s="338" t="str">
        <f t="shared" si="59"/>
        <v>C6501</v>
      </c>
      <c r="E1903" s="338" t="s">
        <v>6900</v>
      </c>
      <c r="F1903" s="338" t="s">
        <v>6865</v>
      </c>
      <c r="G1903" s="338" t="s">
        <v>6</v>
      </c>
      <c r="H1903" s="204" t="s">
        <v>77</v>
      </c>
      <c r="I1903" s="204" t="s">
        <v>7508</v>
      </c>
    </row>
    <row r="1904" spans="1:9" x14ac:dyDescent="0.25">
      <c r="A1904" s="204" t="s">
        <v>1957</v>
      </c>
      <c r="B1904" s="9" t="str">
        <f t="shared" si="60"/>
        <v>55000013</v>
      </c>
      <c r="C1904" s="9" t="str">
        <f>VLOOKUP(B1904,COA!A:B,2,FALSE)</f>
        <v>Transportation Oper - Water Treatment</v>
      </c>
      <c r="D1904" s="338" t="str">
        <f t="shared" si="59"/>
        <v>C6503</v>
      </c>
      <c r="E1904" s="338" t="s">
        <v>6900</v>
      </c>
      <c r="F1904" s="338" t="s">
        <v>9</v>
      </c>
      <c r="G1904" s="338" t="s">
        <v>6</v>
      </c>
      <c r="H1904" s="204" t="s">
        <v>77</v>
      </c>
      <c r="I1904" s="204" t="s">
        <v>7509</v>
      </c>
    </row>
    <row r="1905" spans="1:10" x14ac:dyDescent="0.25">
      <c r="A1905" s="204" t="s">
        <v>1958</v>
      </c>
      <c r="B1905" s="9" t="str">
        <f t="shared" si="60"/>
        <v>55000014</v>
      </c>
      <c r="C1905" s="9" t="str">
        <f>VLOOKUP(B1905,COA!A:B,2,FALSE)</f>
        <v>Transportation Oper - Transmission &amp; Distribution</v>
      </c>
      <c r="D1905" s="338" t="str">
        <f t="shared" si="59"/>
        <v>C6505</v>
      </c>
      <c r="E1905" s="338" t="s">
        <v>6900</v>
      </c>
      <c r="F1905" s="338" t="s">
        <v>6978</v>
      </c>
      <c r="G1905" s="338" t="s">
        <v>6</v>
      </c>
      <c r="H1905" s="204" t="s">
        <v>77</v>
      </c>
      <c r="I1905" s="204" t="s">
        <v>7510</v>
      </c>
    </row>
    <row r="1906" spans="1:10" x14ac:dyDescent="0.25">
      <c r="A1906" s="204" t="s">
        <v>1959</v>
      </c>
      <c r="B1906" s="9" t="str">
        <f t="shared" si="60"/>
        <v>55000015</v>
      </c>
      <c r="C1906" s="9" t="str">
        <f>VLOOKUP(B1906,COA!A:B,2,FALSE)</f>
        <v>Transportation Oper - Customer Accounting</v>
      </c>
      <c r="D1906" s="338" t="str">
        <f t="shared" si="59"/>
        <v>C6507</v>
      </c>
      <c r="E1906" s="338" t="s">
        <v>6900</v>
      </c>
      <c r="F1906" s="338" t="s">
        <v>6958</v>
      </c>
      <c r="G1906" s="338" t="s">
        <v>6</v>
      </c>
      <c r="H1906" s="204" t="s">
        <v>77</v>
      </c>
      <c r="I1906" s="204" t="s">
        <v>7511</v>
      </c>
    </row>
    <row r="1907" spans="1:10" x14ac:dyDescent="0.25">
      <c r="A1907" s="204" t="s">
        <v>1960</v>
      </c>
      <c r="B1907" s="9" t="str">
        <f t="shared" si="60"/>
        <v>55000016</v>
      </c>
      <c r="C1907" s="9" t="str">
        <f>VLOOKUP(B1907,COA!A:B,2,FALSE)</f>
        <v>Transportation Oper - Admin &amp; General</v>
      </c>
      <c r="D1907" s="338" t="str">
        <f t="shared" si="59"/>
        <v>C6508</v>
      </c>
      <c r="E1907" s="338" t="s">
        <v>6900</v>
      </c>
      <c r="F1907" s="338" t="s">
        <v>6866</v>
      </c>
      <c r="G1907" s="338" t="s">
        <v>6</v>
      </c>
      <c r="H1907" s="204" t="s">
        <v>77</v>
      </c>
      <c r="I1907" s="204" t="s">
        <v>7507</v>
      </c>
    </row>
    <row r="1908" spans="1:10" x14ac:dyDescent="0.25">
      <c r="A1908" s="204" t="s">
        <v>1961</v>
      </c>
      <c r="B1908" s="9" t="str">
        <f t="shared" si="60"/>
        <v>55000021</v>
      </c>
      <c r="C1908" s="9" t="str">
        <f>VLOOKUP(B1908,COA!A:B,2,FALSE)</f>
        <v>Transportation Maint - Source of Supply</v>
      </c>
      <c r="D1908" s="338" t="str">
        <f t="shared" si="59"/>
        <v>C6502</v>
      </c>
      <c r="E1908" s="338" t="s">
        <v>6900</v>
      </c>
      <c r="F1908" s="338" t="s">
        <v>23</v>
      </c>
      <c r="G1908" s="338" t="s">
        <v>6</v>
      </c>
      <c r="H1908" s="204" t="s">
        <v>77</v>
      </c>
      <c r="I1908" s="204" t="s">
        <v>7512</v>
      </c>
    </row>
    <row r="1909" spans="1:10" x14ac:dyDescent="0.25">
      <c r="A1909" s="204" t="s">
        <v>1962</v>
      </c>
      <c r="B1909" s="9" t="str">
        <f t="shared" si="60"/>
        <v>55000022</v>
      </c>
      <c r="C1909" s="9" t="str">
        <f>VLOOKUP(B1909,COA!A:B,2,FALSE)</f>
        <v>Transportation Maint - Pumping</v>
      </c>
      <c r="D1909" s="338" t="str">
        <f t="shared" si="59"/>
        <v>C6502</v>
      </c>
      <c r="E1909" s="338" t="s">
        <v>6900</v>
      </c>
      <c r="F1909" s="338" t="s">
        <v>6865</v>
      </c>
      <c r="G1909" s="338" t="s">
        <v>6</v>
      </c>
      <c r="H1909" s="204" t="s">
        <v>77</v>
      </c>
      <c r="I1909" s="204" t="s">
        <v>7512</v>
      </c>
    </row>
    <row r="1910" spans="1:10" x14ac:dyDescent="0.25">
      <c r="A1910" s="204" t="s">
        <v>1963</v>
      </c>
      <c r="B1910" s="9" t="str">
        <f t="shared" si="60"/>
        <v>55000023</v>
      </c>
      <c r="C1910" s="9" t="str">
        <f>VLOOKUP(B1910,COA!A:B,2,FALSE)</f>
        <v>Transportation Maint - Water Treatment</v>
      </c>
      <c r="D1910" s="338" t="str">
        <f t="shared" si="59"/>
        <v>C6504</v>
      </c>
      <c r="E1910" s="338" t="s">
        <v>6900</v>
      </c>
      <c r="F1910" s="338" t="s">
        <v>9</v>
      </c>
      <c r="G1910" s="338" t="s">
        <v>6</v>
      </c>
      <c r="H1910" s="204" t="s">
        <v>77</v>
      </c>
      <c r="I1910" s="204" t="s">
        <v>7513</v>
      </c>
    </row>
    <row r="1911" spans="1:10" x14ac:dyDescent="0.25">
      <c r="A1911" s="204" t="s">
        <v>1964</v>
      </c>
      <c r="B1911" s="9" t="str">
        <f t="shared" si="60"/>
        <v>55000024</v>
      </c>
      <c r="C1911" s="9" t="str">
        <f>VLOOKUP(B1911,COA!A:B,2,FALSE)</f>
        <v>Transportation Maint - Transmission &amp; Distribution</v>
      </c>
      <c r="D1911" s="338" t="str">
        <f t="shared" si="59"/>
        <v>C6506</v>
      </c>
      <c r="E1911" s="338" t="s">
        <v>6900</v>
      </c>
      <c r="F1911" s="338" t="s">
        <v>6978</v>
      </c>
      <c r="G1911" s="338" t="s">
        <v>6</v>
      </c>
      <c r="H1911" s="204" t="s">
        <v>77</v>
      </c>
      <c r="I1911" s="204" t="s">
        <v>7514</v>
      </c>
    </row>
    <row r="1912" spans="1:10" x14ac:dyDescent="0.25">
      <c r="A1912" s="204" t="s">
        <v>1965</v>
      </c>
      <c r="B1912" s="9" t="str">
        <f t="shared" si="60"/>
        <v>55000026</v>
      </c>
      <c r="C1912" s="9" t="str">
        <f>VLOOKUP(B1912,COA!A:B,2,FALSE)</f>
        <v>Transportation Maint - Admin &amp; General</v>
      </c>
      <c r="D1912" s="338" t="str">
        <f t="shared" si="59"/>
        <v>C6508</v>
      </c>
      <c r="E1912" s="338" t="s">
        <v>6900</v>
      </c>
      <c r="F1912" s="338" t="s">
        <v>6866</v>
      </c>
      <c r="G1912" s="338" t="s">
        <v>6</v>
      </c>
      <c r="H1912" s="204" t="s">
        <v>77</v>
      </c>
      <c r="I1912" s="204" t="s">
        <v>7507</v>
      </c>
      <c r="J1912" s="205"/>
    </row>
    <row r="1913" spans="1:10" x14ac:dyDescent="0.25">
      <c r="A1913" s="204" t="s">
        <v>1966</v>
      </c>
      <c r="B1913" s="9" t="str">
        <f t="shared" si="60"/>
        <v>55000100</v>
      </c>
      <c r="C1913" s="9" t="str">
        <f>VLOOKUP(B1913,COA!A:B,2,FALSE)</f>
        <v>Transportation Capitalized Credits</v>
      </c>
      <c r="D1913" s="338" t="str">
        <f t="shared" si="59"/>
        <v>C6508</v>
      </c>
      <c r="E1913" s="338" t="s">
        <v>6900</v>
      </c>
      <c r="F1913" s="338" t="s">
        <v>6866</v>
      </c>
      <c r="G1913" s="338" t="s">
        <v>6</v>
      </c>
      <c r="H1913" s="204" t="s">
        <v>77</v>
      </c>
      <c r="I1913" s="204" t="s">
        <v>7507</v>
      </c>
    </row>
    <row r="1914" spans="1:10" x14ac:dyDescent="0.25">
      <c r="A1914" s="204" t="s">
        <v>1967</v>
      </c>
      <c r="B1914" s="9" t="str">
        <f t="shared" si="60"/>
        <v>55010100</v>
      </c>
      <c r="C1914" s="9" t="str">
        <f>VLOOKUP(B1914,COA!A:B,2,FALSE)</f>
        <v>Transportation Lease Costs</v>
      </c>
      <c r="D1914" s="338" t="str">
        <f t="shared" si="59"/>
        <v>C6508</v>
      </c>
      <c r="E1914" s="338" t="s">
        <v>6900</v>
      </c>
      <c r="F1914" s="338" t="s">
        <v>6866</v>
      </c>
      <c r="G1914" s="338" t="s">
        <v>6</v>
      </c>
      <c r="H1914" s="204" t="s">
        <v>77</v>
      </c>
      <c r="I1914" s="204" t="s">
        <v>7507</v>
      </c>
    </row>
    <row r="1915" spans="1:10" x14ac:dyDescent="0.25">
      <c r="A1915" s="204" t="s">
        <v>1968</v>
      </c>
      <c r="B1915" s="9" t="str">
        <f t="shared" si="60"/>
        <v>55010200</v>
      </c>
      <c r="C1915" s="9" t="str">
        <f>VLOOKUP(B1915,COA!A:B,2,FALSE)</f>
        <v>Transportation Lease Fuel</v>
      </c>
      <c r="D1915" s="338" t="str">
        <f t="shared" si="59"/>
        <v>C6508</v>
      </c>
      <c r="E1915" s="338" t="s">
        <v>6900</v>
      </c>
      <c r="F1915" s="338" t="s">
        <v>6866</v>
      </c>
      <c r="G1915" s="338" t="s">
        <v>6</v>
      </c>
      <c r="H1915" s="204" t="s">
        <v>77</v>
      </c>
      <c r="I1915" s="204" t="s">
        <v>7507</v>
      </c>
    </row>
    <row r="1916" spans="1:10" x14ac:dyDescent="0.25">
      <c r="A1916" s="204" t="s">
        <v>1969</v>
      </c>
      <c r="B1916" s="9" t="str">
        <f t="shared" si="60"/>
        <v>55010300</v>
      </c>
      <c r="C1916" s="9" t="str">
        <f>VLOOKUP(B1916,COA!A:B,2,FALSE)</f>
        <v>Transportation Lease Maint</v>
      </c>
      <c r="D1916" s="338" t="str">
        <f t="shared" si="59"/>
        <v>C6508</v>
      </c>
      <c r="E1916" s="338" t="s">
        <v>6900</v>
      </c>
      <c r="F1916" s="338" t="s">
        <v>6866</v>
      </c>
      <c r="G1916" s="338" t="s">
        <v>6</v>
      </c>
      <c r="H1916" s="204" t="s">
        <v>77</v>
      </c>
      <c r="I1916" s="204" t="s">
        <v>7507</v>
      </c>
    </row>
    <row r="1917" spans="1:10" x14ac:dyDescent="0.25">
      <c r="A1917" s="204" t="s">
        <v>1970</v>
      </c>
      <c r="B1917" s="9" t="str">
        <f t="shared" si="60"/>
        <v>55010400</v>
      </c>
      <c r="C1917" s="9" t="str">
        <f>VLOOKUP(B1917,COA!A:B,2,FALSE)</f>
        <v>Transportation - Employee Reimbursement to Company</v>
      </c>
      <c r="D1917" s="338" t="str">
        <f t="shared" si="59"/>
        <v>C6508</v>
      </c>
      <c r="E1917" s="338" t="s">
        <v>6900</v>
      </c>
      <c r="F1917" s="338" t="s">
        <v>6866</v>
      </c>
      <c r="G1917" s="338" t="s">
        <v>6</v>
      </c>
      <c r="H1917" s="204" t="s">
        <v>77</v>
      </c>
      <c r="I1917" s="204" t="s">
        <v>7507</v>
      </c>
    </row>
    <row r="1918" spans="1:10" x14ac:dyDescent="0.25">
      <c r="A1918" s="204" t="s">
        <v>1971</v>
      </c>
      <c r="B1918" s="9" t="str">
        <f t="shared" si="60"/>
        <v>55010500</v>
      </c>
      <c r="C1918" s="9" t="str">
        <f>VLOOKUP(B1918,COA!A:B,2,FALSE)</f>
        <v>Transportation - Reimburse Employee Personal Use</v>
      </c>
      <c r="D1918" s="338" t="str">
        <f t="shared" si="59"/>
        <v>C6508</v>
      </c>
      <c r="E1918" s="338" t="s">
        <v>6900</v>
      </c>
      <c r="F1918" s="338" t="s">
        <v>6866</v>
      </c>
      <c r="G1918" s="338" t="s">
        <v>6</v>
      </c>
      <c r="H1918" s="204" t="s">
        <v>77</v>
      </c>
      <c r="I1918" s="204" t="s">
        <v>7507</v>
      </c>
    </row>
    <row r="1919" spans="1:10" x14ac:dyDescent="0.25">
      <c r="A1919" s="204" t="s">
        <v>1972</v>
      </c>
      <c r="B1919" s="9" t="str">
        <f t="shared" si="60"/>
        <v>55020000</v>
      </c>
      <c r="C1919" s="9" t="str">
        <f>VLOOKUP(B1919,COA!A:B,2,FALSE)</f>
        <v>Fuel - Physical Inventory Write-off Scrap</v>
      </c>
      <c r="D1919" s="338" t="str">
        <f t="shared" si="59"/>
        <v>C6508</v>
      </c>
      <c r="E1919" s="338" t="s">
        <v>6900</v>
      </c>
      <c r="F1919" s="338" t="s">
        <v>6866</v>
      </c>
      <c r="G1919" s="338" t="s">
        <v>7</v>
      </c>
      <c r="H1919" s="204" t="s">
        <v>77</v>
      </c>
      <c r="I1919" s="204" t="s">
        <v>7507</v>
      </c>
    </row>
    <row r="1920" spans="1:10" x14ac:dyDescent="0.25">
      <c r="A1920" s="204" t="s">
        <v>1973</v>
      </c>
      <c r="B1920" s="9" t="str">
        <f t="shared" si="60"/>
        <v>55110000</v>
      </c>
      <c r="C1920" s="9" t="str">
        <f>VLOOKUP(B1920,COA!A:B,2,FALSE)</f>
        <v>Insurance Vehicle</v>
      </c>
      <c r="D1920" s="338" t="str">
        <f t="shared" si="59"/>
        <v>C6568</v>
      </c>
      <c r="E1920" s="338" t="s">
        <v>6900</v>
      </c>
      <c r="F1920" s="338" t="s">
        <v>6866</v>
      </c>
      <c r="G1920" s="338" t="s">
        <v>6874</v>
      </c>
      <c r="H1920" s="204" t="s">
        <v>77</v>
      </c>
      <c r="I1920" s="204" t="s">
        <v>7515</v>
      </c>
    </row>
    <row r="1921" spans="1:10" x14ac:dyDescent="0.25">
      <c r="A1921" s="204" t="s">
        <v>1974</v>
      </c>
      <c r="B1921" s="9" t="str">
        <f t="shared" si="60"/>
        <v>55115000</v>
      </c>
      <c r="C1921" s="9" t="str">
        <f>VLOOKUP(B1921,COA!A:B,2,FALSE)</f>
        <v>Insurance Vehicle - Intercompany</v>
      </c>
      <c r="D1921" s="338" t="str">
        <f t="shared" si="59"/>
        <v>C6568</v>
      </c>
      <c r="E1921" s="338" t="s">
        <v>6900</v>
      </c>
      <c r="F1921" s="338" t="s">
        <v>6866</v>
      </c>
      <c r="G1921" s="338" t="s">
        <v>6874</v>
      </c>
      <c r="H1921" s="204" t="s">
        <v>77</v>
      </c>
      <c r="I1921" s="204" t="s">
        <v>7515</v>
      </c>
    </row>
    <row r="1922" spans="1:10" x14ac:dyDescent="0.25">
      <c r="A1922" s="204" t="s">
        <v>1975</v>
      </c>
      <c r="B1922" s="9" t="str">
        <f t="shared" si="60"/>
        <v>55710000</v>
      </c>
      <c r="C1922" s="9" t="str">
        <f>VLOOKUP(B1922,COA!A:B,2,FALSE)</f>
        <v>Insurance General Liabilty</v>
      </c>
      <c r="D1922" s="338" t="str">
        <f t="shared" si="59"/>
        <v>C6578</v>
      </c>
      <c r="E1922" s="338" t="s">
        <v>6900</v>
      </c>
      <c r="F1922" s="338" t="s">
        <v>6866</v>
      </c>
      <c r="G1922" s="338" t="s">
        <v>6874</v>
      </c>
      <c r="H1922" s="204" t="s">
        <v>77</v>
      </c>
      <c r="I1922" s="204" t="s">
        <v>7516</v>
      </c>
    </row>
    <row r="1923" spans="1:10" x14ac:dyDescent="0.25">
      <c r="A1923" s="204" t="s">
        <v>1976</v>
      </c>
      <c r="B1923" s="9" t="str">
        <f t="shared" si="60"/>
        <v>55711000</v>
      </c>
      <c r="C1923" s="9" t="str">
        <f>VLOOKUP(B1923,COA!A:B,2,FALSE)</f>
        <v>Insurance Casualty Reserve</v>
      </c>
      <c r="D1923" s="338" t="str">
        <f t="shared" si="59"/>
        <v>C6578</v>
      </c>
      <c r="E1923" s="338" t="s">
        <v>6900</v>
      </c>
      <c r="F1923" s="338" t="s">
        <v>6866</v>
      </c>
      <c r="G1923" s="338" t="s">
        <v>6874</v>
      </c>
      <c r="H1923" s="204" t="s">
        <v>77</v>
      </c>
      <c r="I1923" s="204" t="s">
        <v>7516</v>
      </c>
    </row>
    <row r="1924" spans="1:10" x14ac:dyDescent="0.25">
      <c r="A1924" s="204" t="s">
        <v>1977</v>
      </c>
      <c r="B1924" s="9" t="str">
        <f t="shared" si="60"/>
        <v>55715000</v>
      </c>
      <c r="C1924" s="9" t="str">
        <f>VLOOKUP(B1924,COA!A:B,2,FALSE)</f>
        <v>Insurance General Liabilty - Intercompany</v>
      </c>
      <c r="D1924" s="338" t="str">
        <f t="shared" si="59"/>
        <v>C6578</v>
      </c>
      <c r="E1924" s="338" t="s">
        <v>6900</v>
      </c>
      <c r="F1924" s="338" t="s">
        <v>6866</v>
      </c>
      <c r="G1924" s="338" t="s">
        <v>6874</v>
      </c>
      <c r="H1924" s="204" t="s">
        <v>77</v>
      </c>
      <c r="I1924" s="204" t="s">
        <v>7516</v>
      </c>
    </row>
    <row r="1925" spans="1:10" x14ac:dyDescent="0.25">
      <c r="A1925" s="204" t="s">
        <v>1978</v>
      </c>
      <c r="B1925" s="9" t="str">
        <f t="shared" si="60"/>
        <v>55720000</v>
      </c>
      <c r="C1925" s="9" t="str">
        <f>VLOOKUP(B1925,COA!A:B,2,FALSE)</f>
        <v>Insurance Workers Compensation</v>
      </c>
      <c r="D1925" s="338" t="str">
        <f t="shared" si="59"/>
        <v>C6588</v>
      </c>
      <c r="E1925" s="338" t="s">
        <v>6900</v>
      </c>
      <c r="F1925" s="338" t="s">
        <v>6866</v>
      </c>
      <c r="G1925" s="338" t="s">
        <v>6874</v>
      </c>
      <c r="H1925" s="204" t="s">
        <v>77</v>
      </c>
      <c r="I1925" s="204" t="s">
        <v>7517</v>
      </c>
    </row>
    <row r="1926" spans="1:10" x14ac:dyDescent="0.25">
      <c r="A1926" s="204" t="s">
        <v>1979</v>
      </c>
      <c r="B1926" s="9" t="str">
        <f t="shared" si="60"/>
        <v>55720100</v>
      </c>
      <c r="C1926" s="9" t="str">
        <f>VLOOKUP(B1926,COA!A:B,2,FALSE)</f>
        <v>Insurance WC Capitalized Credits</v>
      </c>
      <c r="D1926" s="338" t="str">
        <f t="shared" si="59"/>
        <v>C6588</v>
      </c>
      <c r="E1926" s="338" t="s">
        <v>6900</v>
      </c>
      <c r="F1926" s="338" t="s">
        <v>6866</v>
      </c>
      <c r="G1926" s="338" t="s">
        <v>6874</v>
      </c>
      <c r="H1926" s="204" t="s">
        <v>77</v>
      </c>
      <c r="I1926" s="204" t="s">
        <v>7517</v>
      </c>
    </row>
    <row r="1927" spans="1:10" x14ac:dyDescent="0.25">
      <c r="A1927" s="204" t="s">
        <v>1980</v>
      </c>
      <c r="B1927" s="9" t="str">
        <f t="shared" si="60"/>
        <v>55725000</v>
      </c>
      <c r="C1927" s="9" t="str">
        <f>VLOOKUP(B1927,COA!A:B,2,FALSE)</f>
        <v>Insurance Workers Compensation - Intercompany</v>
      </c>
      <c r="D1927" s="338" t="str">
        <f t="shared" si="59"/>
        <v>C6588</v>
      </c>
      <c r="E1927" s="338" t="s">
        <v>6900</v>
      </c>
      <c r="F1927" s="338" t="s">
        <v>6866</v>
      </c>
      <c r="G1927" s="338" t="s">
        <v>6874</v>
      </c>
      <c r="H1927" s="204" t="s">
        <v>77</v>
      </c>
      <c r="I1927" s="204" t="s">
        <v>7517</v>
      </c>
      <c r="J1927" s="205"/>
    </row>
    <row r="1928" spans="1:10" x14ac:dyDescent="0.25">
      <c r="A1928" s="204" t="s">
        <v>1981</v>
      </c>
      <c r="B1928" s="9" t="str">
        <f t="shared" si="60"/>
        <v>55730000</v>
      </c>
      <c r="C1928" s="9" t="str">
        <f>VLOOKUP(B1928,COA!A:B,2,FALSE)</f>
        <v>Insurance Other</v>
      </c>
      <c r="D1928" s="338" t="str">
        <f t="shared" si="59"/>
        <v>C6598</v>
      </c>
      <c r="E1928" s="338" t="s">
        <v>6900</v>
      </c>
      <c r="F1928" s="338" t="s">
        <v>6866</v>
      </c>
      <c r="G1928" s="338" t="s">
        <v>6874</v>
      </c>
      <c r="H1928" s="204" t="s">
        <v>77</v>
      </c>
      <c r="I1928" s="204" t="s">
        <v>7518</v>
      </c>
      <c r="J1928" s="205"/>
    </row>
    <row r="1929" spans="1:10" x14ac:dyDescent="0.25">
      <c r="A1929" s="204" t="s">
        <v>1982</v>
      </c>
      <c r="B1929" s="9" t="str">
        <f t="shared" si="60"/>
        <v>55735000</v>
      </c>
      <c r="C1929" s="9" t="str">
        <f>VLOOKUP(B1929,COA!A:B,2,FALSE)</f>
        <v>Insurance Other - Intercompany</v>
      </c>
      <c r="D1929" s="338" t="str">
        <f t="shared" si="59"/>
        <v>C6598</v>
      </c>
      <c r="E1929" s="338" t="s">
        <v>6900</v>
      </c>
      <c r="F1929" s="338" t="s">
        <v>6866</v>
      </c>
      <c r="G1929" s="338" t="s">
        <v>6874</v>
      </c>
      <c r="H1929" s="204" t="s">
        <v>77</v>
      </c>
      <c r="I1929" s="204" t="s">
        <v>7518</v>
      </c>
      <c r="J1929" s="205"/>
    </row>
    <row r="1930" spans="1:10" x14ac:dyDescent="0.25">
      <c r="A1930" s="204" t="s">
        <v>1983</v>
      </c>
      <c r="B1930" s="9" t="str">
        <f t="shared" si="60"/>
        <v>55740000</v>
      </c>
      <c r="C1930" s="9" t="str">
        <f>VLOOKUP(B1930,COA!A:B,2,FALSE)</f>
        <v>Insurance Property</v>
      </c>
      <c r="D1930" s="338" t="str">
        <f t="shared" si="59"/>
        <v>C6598</v>
      </c>
      <c r="E1930" s="338" t="s">
        <v>6900</v>
      </c>
      <c r="F1930" s="338" t="s">
        <v>6866</v>
      </c>
      <c r="G1930" s="338" t="s">
        <v>6874</v>
      </c>
      <c r="H1930" s="204" t="s">
        <v>77</v>
      </c>
      <c r="I1930" s="204" t="s">
        <v>7518</v>
      </c>
    </row>
    <row r="1931" spans="1:10" x14ac:dyDescent="0.25">
      <c r="A1931" s="204" t="s">
        <v>1984</v>
      </c>
      <c r="B1931" s="9" t="str">
        <f t="shared" si="60"/>
        <v>55745000</v>
      </c>
      <c r="C1931" s="9" t="str">
        <f>VLOOKUP(B1931,COA!A:B,2,FALSE)</f>
        <v>Insurance Property - Intercompany</v>
      </c>
      <c r="D1931" s="338" t="str">
        <f t="shared" ref="D1931:D1994" si="61">+I1931</f>
        <v>C6598</v>
      </c>
      <c r="E1931" s="338" t="s">
        <v>6900</v>
      </c>
      <c r="F1931" s="338" t="s">
        <v>6866</v>
      </c>
      <c r="G1931" s="338" t="s">
        <v>6874</v>
      </c>
      <c r="H1931" s="204" t="s">
        <v>77</v>
      </c>
      <c r="I1931" s="204" t="s">
        <v>7518</v>
      </c>
      <c r="J1931" s="205"/>
    </row>
    <row r="1932" spans="1:10" x14ac:dyDescent="0.25">
      <c r="A1932" s="204" t="s">
        <v>1985</v>
      </c>
      <c r="B1932" s="9" t="str">
        <f t="shared" si="60"/>
        <v>56610000</v>
      </c>
      <c r="C1932" s="9" t="str">
        <f>VLOOKUP(B1932,COA!A:B,2,FALSE)</f>
        <v>Regulatory Exp - Amortization</v>
      </c>
      <c r="D1932" s="338" t="str">
        <f t="shared" si="61"/>
        <v>C6668</v>
      </c>
      <c r="E1932" s="338" t="s">
        <v>6900</v>
      </c>
      <c r="F1932" s="338" t="s">
        <v>6866</v>
      </c>
      <c r="G1932" s="338" t="s">
        <v>6883</v>
      </c>
      <c r="H1932" s="204" t="s">
        <v>77</v>
      </c>
      <c r="I1932" s="204" t="s">
        <v>7519</v>
      </c>
      <c r="J1932" s="205"/>
    </row>
    <row r="1933" spans="1:10" x14ac:dyDescent="0.25">
      <c r="A1933" s="204" t="s">
        <v>1986</v>
      </c>
      <c r="B1933" s="9" t="str">
        <f t="shared" si="60"/>
        <v>56611000</v>
      </c>
      <c r="C1933" s="9" t="str">
        <f>VLOOKUP(B1933,COA!A:B,2,FALSE)</f>
        <v>Regulatory Exp - Not Authorized</v>
      </c>
      <c r="D1933" s="338" t="str">
        <f t="shared" si="61"/>
        <v>C6668</v>
      </c>
      <c r="E1933" s="338" t="s">
        <v>6900</v>
      </c>
      <c r="F1933" s="338" t="s">
        <v>6866</v>
      </c>
      <c r="G1933" s="338" t="s">
        <v>6883</v>
      </c>
      <c r="H1933" s="204" t="s">
        <v>77</v>
      </c>
      <c r="I1933" s="204" t="s">
        <v>7519</v>
      </c>
    </row>
    <row r="1934" spans="1:10" x14ac:dyDescent="0.25">
      <c r="A1934" s="204" t="s">
        <v>1987</v>
      </c>
      <c r="B1934" s="9" t="str">
        <f t="shared" si="60"/>
        <v>56620000</v>
      </c>
      <c r="C1934" s="9" t="str">
        <f>VLOOKUP(B1934,COA!A:B,2,FALSE)</f>
        <v>Regulatory Exp - Amort Depreciation Study</v>
      </c>
      <c r="D1934" s="338" t="str">
        <f t="shared" si="61"/>
        <v>C6678</v>
      </c>
      <c r="E1934" s="338" t="s">
        <v>6900</v>
      </c>
      <c r="F1934" s="338" t="s">
        <v>6866</v>
      </c>
      <c r="G1934" s="338" t="s">
        <v>6883</v>
      </c>
      <c r="H1934" s="204" t="s">
        <v>77</v>
      </c>
      <c r="I1934" s="204" t="s">
        <v>7520</v>
      </c>
    </row>
    <row r="1935" spans="1:10" x14ac:dyDescent="0.25">
      <c r="A1935" s="204" t="s">
        <v>1988</v>
      </c>
      <c r="B1935" s="9" t="str">
        <f t="shared" si="60"/>
        <v>56630000</v>
      </c>
      <c r="C1935" s="9" t="str">
        <f>VLOOKUP(B1935,COA!A:B,2,FALSE)</f>
        <v>Regulatory Exp - Amort Management Study</v>
      </c>
      <c r="D1935" s="338" t="str">
        <f t="shared" si="61"/>
        <v>C6678</v>
      </c>
      <c r="E1935" s="338" t="s">
        <v>6900</v>
      </c>
      <c r="F1935" s="338" t="s">
        <v>6866</v>
      </c>
      <c r="G1935" s="338" t="s">
        <v>6883</v>
      </c>
      <c r="H1935" s="204" t="s">
        <v>77</v>
      </c>
      <c r="I1935" s="204" t="s">
        <v>7520</v>
      </c>
    </row>
    <row r="1936" spans="1:10" x14ac:dyDescent="0.25">
      <c r="A1936" s="204" t="s">
        <v>1989</v>
      </c>
      <c r="B1936" s="9" t="str">
        <f t="shared" si="60"/>
        <v>56670000</v>
      </c>
      <c r="C1936" s="9" t="str">
        <f>VLOOKUP(B1936,COA!A:B,2,FALSE)</f>
        <v>Regulatory Exp - Other</v>
      </c>
      <c r="D1936" s="338" t="str">
        <f t="shared" si="61"/>
        <v>C6678</v>
      </c>
      <c r="E1936" s="338" t="s">
        <v>6900</v>
      </c>
      <c r="F1936" s="338" t="s">
        <v>6866</v>
      </c>
      <c r="G1936" s="338" t="s">
        <v>6883</v>
      </c>
      <c r="H1936" s="204" t="s">
        <v>77</v>
      </c>
      <c r="I1936" s="204" t="s">
        <v>7520</v>
      </c>
    </row>
    <row r="1937" spans="1:10" x14ac:dyDescent="0.25">
      <c r="A1937" s="204" t="s">
        <v>1990</v>
      </c>
      <c r="B1937" s="9" t="str">
        <f t="shared" si="60"/>
        <v>57010000</v>
      </c>
      <c r="C1937" s="9" t="str">
        <f>VLOOKUP(B1937,COA!A:B,2,FALSE)</f>
        <v>Uncollectible Accounts Exp - Natural Account</v>
      </c>
      <c r="D1937" s="338" t="str">
        <f t="shared" si="61"/>
        <v>C6707</v>
      </c>
      <c r="E1937" s="338" t="s">
        <v>6900</v>
      </c>
      <c r="F1937" s="338" t="s">
        <v>6958</v>
      </c>
      <c r="G1937" s="338" t="s">
        <v>14</v>
      </c>
      <c r="H1937" s="204" t="s">
        <v>77</v>
      </c>
      <c r="I1937" s="204" t="s">
        <v>7521</v>
      </c>
    </row>
    <row r="1938" spans="1:10" x14ac:dyDescent="0.25">
      <c r="A1938" s="204" t="s">
        <v>1991</v>
      </c>
      <c r="B1938" s="9" t="str">
        <f t="shared" si="60"/>
        <v>57010015</v>
      </c>
      <c r="C1938" s="9" t="str">
        <f>VLOOKUP(B1938,COA!A:B,2,FALSE)</f>
        <v>Uncollectible Accounts Exp - Customer Accounting</v>
      </c>
      <c r="D1938" s="338" t="str">
        <f t="shared" si="61"/>
        <v>C6707</v>
      </c>
      <c r="E1938" s="338" t="s">
        <v>6900</v>
      </c>
      <c r="F1938" s="338" t="s">
        <v>6958</v>
      </c>
      <c r="G1938" s="338" t="s">
        <v>14</v>
      </c>
      <c r="H1938" s="204" t="s">
        <v>77</v>
      </c>
      <c r="I1938" s="204" t="s">
        <v>7521</v>
      </c>
    </row>
    <row r="1939" spans="1:10" x14ac:dyDescent="0.25">
      <c r="A1939" s="204" t="s">
        <v>1992</v>
      </c>
      <c r="B1939" s="9" t="str">
        <f t="shared" si="60"/>
        <v>57010016</v>
      </c>
      <c r="C1939" s="9" t="str">
        <f>VLOOKUP(B1939,COA!A:B,2,FALSE)</f>
        <v>Uncollectible Accounts Exp - Admin &amp; General</v>
      </c>
      <c r="D1939" s="338" t="str">
        <f t="shared" si="61"/>
        <v>C6707</v>
      </c>
      <c r="E1939" s="338" t="s">
        <v>6900</v>
      </c>
      <c r="F1939" s="338" t="s">
        <v>6866</v>
      </c>
      <c r="G1939" s="338" t="s">
        <v>14</v>
      </c>
      <c r="H1939" s="204" t="s">
        <v>77</v>
      </c>
      <c r="I1939" s="204" t="s">
        <v>7521</v>
      </c>
    </row>
    <row r="1940" spans="1:10" x14ac:dyDescent="0.25">
      <c r="A1940" s="204" t="s">
        <v>1993</v>
      </c>
      <c r="B1940" s="9" t="str">
        <f t="shared" si="60"/>
        <v>57010100</v>
      </c>
      <c r="C1940" s="9" t="str">
        <f>VLOOKUP(B1940,COA!A:B,2,FALSE)</f>
        <v>Uncollectible Accounts Exp - Individual Value Adj</v>
      </c>
      <c r="D1940" s="338" t="str">
        <f t="shared" si="61"/>
        <v>C6707</v>
      </c>
      <c r="E1940" s="338" t="s">
        <v>6900</v>
      </c>
      <c r="F1940" s="338" t="s">
        <v>6958</v>
      </c>
      <c r="G1940" s="338" t="s">
        <v>14</v>
      </c>
      <c r="H1940" s="204" t="s">
        <v>77</v>
      </c>
      <c r="I1940" s="204" t="s">
        <v>7521</v>
      </c>
      <c r="J1940" s="205"/>
    </row>
    <row r="1941" spans="1:10" x14ac:dyDescent="0.25">
      <c r="A1941" s="204" t="s">
        <v>1994</v>
      </c>
      <c r="B1941" s="9" t="str">
        <f t="shared" si="60"/>
        <v>57010199</v>
      </c>
      <c r="C1941" s="9" t="str">
        <f>VLOOKUP(B1941,COA!A:B,2,FALSE)</f>
        <v>Uncollectible Expense - Leak Adjustments</v>
      </c>
      <c r="D1941" s="338" t="str">
        <f t="shared" si="61"/>
        <v>C6707</v>
      </c>
      <c r="E1941" s="338" t="s">
        <v>6900</v>
      </c>
      <c r="F1941" s="338" t="s">
        <v>6958</v>
      </c>
      <c r="G1941" s="338" t="s">
        <v>14</v>
      </c>
      <c r="H1941" s="204" t="s">
        <v>77</v>
      </c>
      <c r="I1941" s="204" t="s">
        <v>7521</v>
      </c>
      <c r="J1941" s="205"/>
    </row>
    <row r="1942" spans="1:10" x14ac:dyDescent="0.25">
      <c r="A1942" s="204" t="s">
        <v>1995</v>
      </c>
      <c r="B1942" s="9" t="str">
        <f t="shared" si="60"/>
        <v>58001000</v>
      </c>
      <c r="C1942" s="9" t="str">
        <f>VLOOKUP(B1942,COA!A:B,2,FALSE)</f>
        <v>Impairment - Goodwill</v>
      </c>
      <c r="D1942" s="338" t="str">
        <f t="shared" si="61"/>
        <v>C6758</v>
      </c>
      <c r="E1942" s="338" t="s">
        <v>6887</v>
      </c>
      <c r="G1942" s="338">
        <v>0</v>
      </c>
      <c r="H1942" s="204" t="s">
        <v>77</v>
      </c>
      <c r="I1942" s="204" t="s">
        <v>7465</v>
      </c>
      <c r="J1942" s="205"/>
    </row>
    <row r="1943" spans="1:10" x14ac:dyDescent="0.25">
      <c r="A1943" s="204" t="s">
        <v>1996</v>
      </c>
      <c r="B1943" s="9" t="str">
        <f t="shared" si="60"/>
        <v>58001500</v>
      </c>
      <c r="C1943" s="9" t="str">
        <f>VLOOKUP(B1943,COA!A:B,2,FALSE)</f>
        <v>Impairment - Intangibles</v>
      </c>
      <c r="D1943" s="338" t="str">
        <f t="shared" si="61"/>
        <v>C6758</v>
      </c>
      <c r="E1943" s="338" t="s">
        <v>6887</v>
      </c>
      <c r="G1943" s="338">
        <v>0</v>
      </c>
      <c r="H1943" s="204" t="s">
        <v>77</v>
      </c>
      <c r="I1943" s="204" t="s">
        <v>7465</v>
      </c>
    </row>
    <row r="1944" spans="1:10" x14ac:dyDescent="0.25">
      <c r="A1944" s="204" t="s">
        <v>1997</v>
      </c>
      <c r="B1944" s="9" t="str">
        <f t="shared" si="60"/>
        <v>58002000</v>
      </c>
      <c r="C1944" s="9" t="str">
        <f>VLOOKUP(B1944,COA!A:B,2,FALSE)</f>
        <v>Impairment - Plant Property &amp; Equipment</v>
      </c>
      <c r="D1944" s="338" t="str">
        <f t="shared" si="61"/>
        <v>C6758</v>
      </c>
      <c r="E1944" s="338" t="s">
        <v>6887</v>
      </c>
      <c r="G1944" s="338">
        <v>0</v>
      </c>
      <c r="H1944" s="204" t="s">
        <v>77</v>
      </c>
      <c r="I1944" s="204" t="s">
        <v>7465</v>
      </c>
      <c r="J1944" s="205"/>
    </row>
    <row r="1945" spans="1:10" x14ac:dyDescent="0.25">
      <c r="A1945" s="204" t="s">
        <v>1998</v>
      </c>
      <c r="B1945" s="9" t="str">
        <f t="shared" si="60"/>
        <v>59011000</v>
      </c>
      <c r="C1945" s="9" t="str">
        <f>VLOOKUP(B1945,COA!A:B,2,FALSE)</f>
        <v>Gains/Losses Non-Utility Property Disposals</v>
      </c>
      <c r="D1945" s="338" t="str">
        <f t="shared" si="61"/>
        <v>C426</v>
      </c>
      <c r="E1945" s="338" t="s">
        <v>6887</v>
      </c>
      <c r="G1945" s="338">
        <v>0</v>
      </c>
      <c r="H1945" s="204" t="s">
        <v>77</v>
      </c>
      <c r="I1945" s="204" t="s">
        <v>7522</v>
      </c>
    </row>
    <row r="1946" spans="1:10" x14ac:dyDescent="0.25">
      <c r="A1946" s="204" t="s">
        <v>1999</v>
      </c>
      <c r="B1946" s="9" t="str">
        <f t="shared" si="60"/>
        <v>59011500</v>
      </c>
      <c r="C1946" s="9" t="str">
        <f>VLOOKUP(B1946,COA!A:B,2,FALSE)</f>
        <v>Gains/Losses Non-Utility Property Sales</v>
      </c>
      <c r="D1946" s="338" t="str">
        <f t="shared" si="61"/>
        <v>C426</v>
      </c>
      <c r="E1946" s="338" t="s">
        <v>6887</v>
      </c>
      <c r="G1946" s="338">
        <v>0</v>
      </c>
      <c r="H1946" s="204" t="s">
        <v>77</v>
      </c>
      <c r="I1946" s="204" t="s">
        <v>7522</v>
      </c>
    </row>
    <row r="1947" spans="1:10" x14ac:dyDescent="0.25">
      <c r="A1947" s="204" t="s">
        <v>2000</v>
      </c>
      <c r="B1947" s="9" t="str">
        <f t="shared" si="60"/>
        <v>59021000</v>
      </c>
      <c r="C1947" s="9" t="str">
        <f>VLOOKUP(B1947,COA!A:B,2,FALSE)</f>
        <v>Gains/Losses Utility Property Sales</v>
      </c>
      <c r="D1947" s="338" t="str">
        <f t="shared" si="61"/>
        <v>C426</v>
      </c>
      <c r="E1947" s="338" t="s">
        <v>6887</v>
      </c>
      <c r="G1947" s="338">
        <v>0</v>
      </c>
      <c r="H1947" s="204" t="s">
        <v>77</v>
      </c>
      <c r="I1947" s="204" t="s">
        <v>7522</v>
      </c>
    </row>
    <row r="1948" spans="1:10" x14ac:dyDescent="0.25">
      <c r="A1948" s="204" t="s">
        <v>2001</v>
      </c>
      <c r="B1948" s="9" t="str">
        <f t="shared" si="60"/>
        <v>59022000</v>
      </c>
      <c r="C1948" s="9" t="str">
        <f>VLOOKUP(B1948,COA!A:B,2,FALSE)</f>
        <v>Gains/Losses Acquisition of Asset</v>
      </c>
      <c r="D1948" s="338" t="str">
        <f t="shared" si="61"/>
        <v>C426</v>
      </c>
      <c r="E1948" s="338" t="s">
        <v>6887</v>
      </c>
      <c r="G1948" s="338">
        <v>0</v>
      </c>
      <c r="H1948" s="204" t="s">
        <v>77</v>
      </c>
      <c r="I1948" s="204" t="s">
        <v>7522</v>
      </c>
      <c r="J1948" s="205"/>
    </row>
    <row r="1949" spans="1:10" x14ac:dyDescent="0.25">
      <c r="A1949" s="204" t="s">
        <v>2002</v>
      </c>
      <c r="B1949" s="9" t="str">
        <f t="shared" si="60"/>
        <v>62002100</v>
      </c>
      <c r="C1949" s="9" t="str">
        <f>VLOOKUP(B1949,COA!A:B,2,FALSE)</f>
        <v>M&amp;S Maint - Source of Supply</v>
      </c>
      <c r="D1949" s="338" t="str">
        <f t="shared" si="61"/>
        <v>C6202</v>
      </c>
      <c r="E1949" s="338" t="s">
        <v>8</v>
      </c>
      <c r="F1949" s="338" t="s">
        <v>23</v>
      </c>
      <c r="G1949" s="338" t="s">
        <v>10</v>
      </c>
      <c r="H1949" s="204" t="s">
        <v>77</v>
      </c>
      <c r="I1949" s="204" t="s">
        <v>7523</v>
      </c>
    </row>
    <row r="1950" spans="1:10" x14ac:dyDescent="0.25">
      <c r="A1950" s="204" t="s">
        <v>2003</v>
      </c>
      <c r="B1950" s="9" t="str">
        <f t="shared" si="60"/>
        <v>62002200</v>
      </c>
      <c r="C1950" s="9" t="str">
        <f>VLOOKUP(B1950,COA!A:B,2,FALSE)</f>
        <v>M&amp;S Maint - Pumping</v>
      </c>
      <c r="D1950" s="338" t="str">
        <f t="shared" si="61"/>
        <v>C6202</v>
      </c>
      <c r="E1950" s="338" t="s">
        <v>8</v>
      </c>
      <c r="F1950" s="338" t="s">
        <v>6865</v>
      </c>
      <c r="G1950" s="338" t="s">
        <v>10</v>
      </c>
      <c r="H1950" s="204" t="s">
        <v>77</v>
      </c>
      <c r="I1950" s="204" t="s">
        <v>7523</v>
      </c>
    </row>
    <row r="1951" spans="1:10" x14ac:dyDescent="0.25">
      <c r="A1951" s="204" t="s">
        <v>2004</v>
      </c>
      <c r="B1951" s="9" t="str">
        <f t="shared" si="60"/>
        <v>62002300</v>
      </c>
      <c r="C1951" s="9" t="str">
        <f>VLOOKUP(B1951,COA!A:B,2,FALSE)</f>
        <v>M&amp;S Maint - Water Treatment</v>
      </c>
      <c r="D1951" s="338" t="str">
        <f t="shared" si="61"/>
        <v>C6204</v>
      </c>
      <c r="E1951" s="338" t="s">
        <v>8</v>
      </c>
      <c r="F1951" s="338" t="s">
        <v>9</v>
      </c>
      <c r="G1951" s="338" t="s">
        <v>10</v>
      </c>
      <c r="H1951" s="204" t="s">
        <v>77</v>
      </c>
      <c r="I1951" s="204" t="s">
        <v>7524</v>
      </c>
    </row>
    <row r="1952" spans="1:10" x14ac:dyDescent="0.25">
      <c r="A1952" s="204" t="s">
        <v>2005</v>
      </c>
      <c r="B1952" s="9" t="str">
        <f t="shared" si="60"/>
        <v>62002400</v>
      </c>
      <c r="C1952" s="9" t="str">
        <f>VLOOKUP(B1952,COA!A:B,2,FALSE)</f>
        <v>M&amp;S Maint - Transmission &amp; Distribution</v>
      </c>
      <c r="D1952" s="338" t="str">
        <f t="shared" si="61"/>
        <v>C6206</v>
      </c>
      <c r="E1952" s="338" t="s">
        <v>8</v>
      </c>
      <c r="F1952" s="338" t="s">
        <v>6978</v>
      </c>
      <c r="G1952" s="338" t="s">
        <v>10</v>
      </c>
      <c r="H1952" s="204" t="s">
        <v>77</v>
      </c>
      <c r="I1952" s="204" t="s">
        <v>7525</v>
      </c>
    </row>
    <row r="1953" spans="1:10" x14ac:dyDescent="0.25">
      <c r="A1953" s="204" t="s">
        <v>2006</v>
      </c>
      <c r="B1953" s="9" t="str">
        <f t="shared" si="60"/>
        <v>62002600</v>
      </c>
      <c r="C1953" s="9" t="str">
        <f>VLOOKUP(B1953,COA!A:B,2,FALSE)</f>
        <v>M&amp;S Maint - Admin &amp; General</v>
      </c>
      <c r="D1953" s="338" t="str">
        <f t="shared" si="61"/>
        <v>C6208</v>
      </c>
      <c r="E1953" s="338" t="s">
        <v>8</v>
      </c>
      <c r="F1953" s="338" t="s">
        <v>6866</v>
      </c>
      <c r="G1953" s="338" t="s">
        <v>10</v>
      </c>
      <c r="H1953" s="204" t="s">
        <v>77</v>
      </c>
      <c r="I1953" s="204" t="s">
        <v>7478</v>
      </c>
      <c r="J1953" s="205"/>
    </row>
    <row r="1954" spans="1:10" x14ac:dyDescent="0.25">
      <c r="A1954" s="204" t="s">
        <v>2007</v>
      </c>
      <c r="B1954" s="9" t="str">
        <f t="shared" si="60"/>
        <v>62502100</v>
      </c>
      <c r="C1954" s="9" t="str">
        <f>VLOOKUP(B1954,COA!A:B,2,FALSE)</f>
        <v>Misc Maint - Source of Supply</v>
      </c>
      <c r="D1954" s="338" t="str">
        <f t="shared" si="61"/>
        <v>C6752</v>
      </c>
      <c r="E1954" s="338" t="s">
        <v>8</v>
      </c>
      <c r="F1954" s="338" t="s">
        <v>23</v>
      </c>
      <c r="G1954" s="338" t="s">
        <v>7</v>
      </c>
      <c r="H1954" s="204" t="s">
        <v>77</v>
      </c>
      <c r="I1954" s="204" t="s">
        <v>7526</v>
      </c>
    </row>
    <row r="1955" spans="1:10" x14ac:dyDescent="0.25">
      <c r="A1955" s="204" t="s">
        <v>2008</v>
      </c>
      <c r="B1955" s="9" t="str">
        <f t="shared" si="60"/>
        <v>62502110</v>
      </c>
      <c r="C1955" s="9" t="str">
        <f>VLOOKUP(B1955,COA!A:B,2,FALSE)</f>
        <v>Misc Maint - Source of Supply Struct &amp; Imp</v>
      </c>
      <c r="D1955" s="338" t="str">
        <f t="shared" si="61"/>
        <v>C6752</v>
      </c>
      <c r="E1955" s="338" t="s">
        <v>8</v>
      </c>
      <c r="F1955" s="338" t="s">
        <v>23</v>
      </c>
      <c r="G1955" s="338" t="s">
        <v>7</v>
      </c>
      <c r="H1955" s="204" t="s">
        <v>77</v>
      </c>
      <c r="I1955" s="204" t="s">
        <v>7526</v>
      </c>
    </row>
    <row r="1956" spans="1:10" x14ac:dyDescent="0.25">
      <c r="A1956" s="204" t="s">
        <v>2009</v>
      </c>
      <c r="B1956" s="9" t="str">
        <f t="shared" si="60"/>
        <v>62502115</v>
      </c>
      <c r="C1956" s="9" t="str">
        <f>VLOOKUP(B1956,COA!A:B,2,FALSE)</f>
        <v>Misc Maint - Source of Supply Coll &amp; Imp</v>
      </c>
      <c r="D1956" s="338" t="str">
        <f t="shared" si="61"/>
        <v>C6752</v>
      </c>
      <c r="E1956" s="338" t="s">
        <v>8</v>
      </c>
      <c r="F1956" s="338" t="s">
        <v>23</v>
      </c>
      <c r="G1956" s="338" t="s">
        <v>7</v>
      </c>
      <c r="H1956" s="204" t="s">
        <v>77</v>
      </c>
      <c r="I1956" s="204" t="s">
        <v>7526</v>
      </c>
    </row>
    <row r="1957" spans="1:10" x14ac:dyDescent="0.25">
      <c r="A1957" s="204" t="s">
        <v>2010</v>
      </c>
      <c r="B1957" s="9" t="str">
        <f t="shared" si="60"/>
        <v>62502120</v>
      </c>
      <c r="C1957" s="9" t="str">
        <f>VLOOKUP(B1957,COA!A:B,2,FALSE)</f>
        <v>Misc Maint - Source of Supply Lake</v>
      </c>
      <c r="D1957" s="338" t="str">
        <f t="shared" si="61"/>
        <v>C6752</v>
      </c>
      <c r="E1957" s="338" t="s">
        <v>8</v>
      </c>
      <c r="F1957" s="338" t="s">
        <v>23</v>
      </c>
      <c r="G1957" s="338" t="s">
        <v>7</v>
      </c>
      <c r="H1957" s="204" t="s">
        <v>77</v>
      </c>
      <c r="I1957" s="204" t="s">
        <v>7526</v>
      </c>
    </row>
    <row r="1958" spans="1:10" x14ac:dyDescent="0.25">
      <c r="A1958" s="204" t="s">
        <v>2011</v>
      </c>
      <c r="B1958" s="9" t="str">
        <f t="shared" si="60"/>
        <v>62502125</v>
      </c>
      <c r="C1958" s="9" t="str">
        <f>VLOOKUP(B1958,COA!A:B,2,FALSE)</f>
        <v>Misc Maint - Source of Supply Wells</v>
      </c>
      <c r="D1958" s="338" t="str">
        <f t="shared" si="61"/>
        <v>C6752</v>
      </c>
      <c r="E1958" s="338" t="s">
        <v>8</v>
      </c>
      <c r="F1958" s="338" t="s">
        <v>23</v>
      </c>
      <c r="G1958" s="338" t="s">
        <v>7</v>
      </c>
      <c r="H1958" s="204" t="s">
        <v>77</v>
      </c>
      <c r="I1958" s="204" t="s">
        <v>7526</v>
      </c>
    </row>
    <row r="1959" spans="1:10" x14ac:dyDescent="0.25">
      <c r="A1959" s="204" t="s">
        <v>2012</v>
      </c>
      <c r="B1959" s="9" t="str">
        <f t="shared" si="60"/>
        <v>62502130</v>
      </c>
      <c r="C1959" s="9" t="str">
        <f>VLOOKUP(B1959,COA!A:B,2,FALSE)</f>
        <v>Misc Maint - Source of Supply Infil Gallery</v>
      </c>
      <c r="D1959" s="338" t="str">
        <f t="shared" si="61"/>
        <v>C6752</v>
      </c>
      <c r="E1959" s="338" t="s">
        <v>8</v>
      </c>
      <c r="F1959" s="338" t="s">
        <v>23</v>
      </c>
      <c r="G1959" s="338" t="s">
        <v>7</v>
      </c>
      <c r="H1959" s="204" t="s">
        <v>77</v>
      </c>
      <c r="I1959" s="204" t="s">
        <v>7526</v>
      </c>
    </row>
    <row r="1960" spans="1:10" x14ac:dyDescent="0.25">
      <c r="A1960" s="204" t="s">
        <v>2013</v>
      </c>
      <c r="B1960" s="9" t="str">
        <f t="shared" si="60"/>
        <v>62502135</v>
      </c>
      <c r="C1960" s="9" t="str">
        <f>VLOOKUP(B1960,COA!A:B,2,FALSE)</f>
        <v>Misc Maint - Source of Supply Supply Mains</v>
      </c>
      <c r="D1960" s="338" t="str">
        <f t="shared" si="61"/>
        <v>C6752</v>
      </c>
      <c r="E1960" s="338" t="s">
        <v>8</v>
      </c>
      <c r="F1960" s="338" t="s">
        <v>23</v>
      </c>
      <c r="G1960" s="338" t="s">
        <v>7</v>
      </c>
      <c r="H1960" s="204" t="s">
        <v>77</v>
      </c>
      <c r="I1960" s="204" t="s">
        <v>7526</v>
      </c>
    </row>
    <row r="1961" spans="1:10" x14ac:dyDescent="0.25">
      <c r="A1961" s="204" t="s">
        <v>2014</v>
      </c>
      <c r="B1961" s="9" t="str">
        <f t="shared" si="60"/>
        <v>62502200</v>
      </c>
      <c r="C1961" s="9" t="str">
        <f>VLOOKUP(B1961,COA!A:B,2,FALSE)</f>
        <v>Misc Maint - Pumping</v>
      </c>
      <c r="D1961" s="338" t="str">
        <f t="shared" si="61"/>
        <v>C6752</v>
      </c>
      <c r="E1961" s="338" t="s">
        <v>8</v>
      </c>
      <c r="F1961" s="338" t="s">
        <v>6865</v>
      </c>
      <c r="G1961" s="338" t="s">
        <v>7</v>
      </c>
      <c r="H1961" s="204" t="s">
        <v>77</v>
      </c>
      <c r="I1961" s="204" t="s">
        <v>7526</v>
      </c>
    </row>
    <row r="1962" spans="1:10" x14ac:dyDescent="0.25">
      <c r="A1962" s="204" t="s">
        <v>2015</v>
      </c>
      <c r="B1962" s="9" t="str">
        <f t="shared" si="60"/>
        <v>62502210</v>
      </c>
      <c r="C1962" s="9" t="str">
        <f>VLOOKUP(B1962,COA!A:B,2,FALSE)</f>
        <v>Misc Maint - Pumping - Struct &amp; Imp</v>
      </c>
      <c r="D1962" s="338" t="str">
        <f t="shared" si="61"/>
        <v>C6752</v>
      </c>
      <c r="E1962" s="338" t="s">
        <v>8</v>
      </c>
      <c r="F1962" s="338" t="s">
        <v>6865</v>
      </c>
      <c r="G1962" s="338" t="s">
        <v>7</v>
      </c>
      <c r="H1962" s="204" t="s">
        <v>77</v>
      </c>
      <c r="I1962" s="204" t="s">
        <v>7526</v>
      </c>
    </row>
    <row r="1963" spans="1:10" x14ac:dyDescent="0.25">
      <c r="A1963" s="204" t="s">
        <v>2016</v>
      </c>
      <c r="B1963" s="9" t="str">
        <f t="shared" si="60"/>
        <v>62502215</v>
      </c>
      <c r="C1963" s="9" t="str">
        <f>VLOOKUP(B1963,COA!A:B,2,FALSE)</f>
        <v>Misc Maint - Pumping - Power Production</v>
      </c>
      <c r="D1963" s="338" t="str">
        <f t="shared" si="61"/>
        <v>C6752</v>
      </c>
      <c r="E1963" s="338" t="s">
        <v>8</v>
      </c>
      <c r="F1963" s="338" t="s">
        <v>6865</v>
      </c>
      <c r="G1963" s="338" t="s">
        <v>7</v>
      </c>
      <c r="H1963" s="204" t="s">
        <v>77</v>
      </c>
      <c r="I1963" s="204" t="s">
        <v>7526</v>
      </c>
    </row>
    <row r="1964" spans="1:10" x14ac:dyDescent="0.25">
      <c r="A1964" s="204" t="s">
        <v>2017</v>
      </c>
      <c r="B1964" s="9" t="str">
        <f t="shared" si="60"/>
        <v>62502300</v>
      </c>
      <c r="C1964" s="9" t="str">
        <f>VLOOKUP(B1964,COA!A:B,2,FALSE)</f>
        <v>Misc Maint - Water Treatment</v>
      </c>
      <c r="D1964" s="338" t="str">
        <f t="shared" si="61"/>
        <v>C6754</v>
      </c>
      <c r="E1964" s="338" t="s">
        <v>8</v>
      </c>
      <c r="F1964" s="338" t="s">
        <v>9</v>
      </c>
      <c r="G1964" s="338" t="s">
        <v>7</v>
      </c>
      <c r="H1964" s="204" t="s">
        <v>77</v>
      </c>
      <c r="I1964" s="204" t="s">
        <v>7527</v>
      </c>
    </row>
    <row r="1965" spans="1:10" x14ac:dyDescent="0.25">
      <c r="A1965" s="204" t="s">
        <v>2018</v>
      </c>
      <c r="B1965" s="9" t="str">
        <f t="shared" si="60"/>
        <v>62502310</v>
      </c>
      <c r="C1965" s="9" t="str">
        <f>VLOOKUP(B1965,COA!A:B,2,FALSE)</f>
        <v>Misc Maint - Water Treatment - Struct &amp; Imp</v>
      </c>
      <c r="D1965" s="338" t="str">
        <f t="shared" si="61"/>
        <v>C6754</v>
      </c>
      <c r="E1965" s="338" t="s">
        <v>8</v>
      </c>
      <c r="F1965" s="338" t="s">
        <v>9</v>
      </c>
      <c r="G1965" s="338" t="s">
        <v>7</v>
      </c>
      <c r="H1965" s="204" t="s">
        <v>77</v>
      </c>
      <c r="I1965" s="204" t="s">
        <v>7527</v>
      </c>
    </row>
    <row r="1966" spans="1:10" x14ac:dyDescent="0.25">
      <c r="A1966" s="204" t="s">
        <v>2019</v>
      </c>
      <c r="B1966" s="9" t="str">
        <f t="shared" ref="B1966:B2029" si="62">RIGHT(A1966,8)</f>
        <v>62502315</v>
      </c>
      <c r="C1966" s="9" t="str">
        <f>VLOOKUP(B1966,COA!A:B,2,FALSE)</f>
        <v>Misc Maint - Water Treatment - Equipment</v>
      </c>
      <c r="D1966" s="338" t="str">
        <f t="shared" si="61"/>
        <v>C6754</v>
      </c>
      <c r="E1966" s="338" t="s">
        <v>8</v>
      </c>
      <c r="F1966" s="338" t="s">
        <v>9</v>
      </c>
      <c r="G1966" s="338" t="s">
        <v>7</v>
      </c>
      <c r="H1966" s="204" t="s">
        <v>77</v>
      </c>
      <c r="I1966" s="204" t="s">
        <v>7527</v>
      </c>
    </row>
    <row r="1967" spans="1:10" x14ac:dyDescent="0.25">
      <c r="A1967" s="204" t="s">
        <v>2020</v>
      </c>
      <c r="B1967" s="9" t="str">
        <f t="shared" si="62"/>
        <v>62502400</v>
      </c>
      <c r="C1967" s="9" t="str">
        <f>VLOOKUP(B1967,COA!A:B,2,FALSE)</f>
        <v>Misc Maint - Transmission &amp; Distribution</v>
      </c>
      <c r="D1967" s="338" t="str">
        <f t="shared" si="61"/>
        <v>C6756</v>
      </c>
      <c r="E1967" s="338" t="s">
        <v>8</v>
      </c>
      <c r="F1967" s="338" t="s">
        <v>6978</v>
      </c>
      <c r="G1967" s="338" t="s">
        <v>7</v>
      </c>
      <c r="H1967" s="204" t="s">
        <v>77</v>
      </c>
      <c r="I1967" s="204" t="s">
        <v>7528</v>
      </c>
    </row>
    <row r="1968" spans="1:10" x14ac:dyDescent="0.25">
      <c r="A1968" s="204" t="s">
        <v>2021</v>
      </c>
      <c r="B1968" s="9" t="str">
        <f t="shared" si="62"/>
        <v>62502410</v>
      </c>
      <c r="C1968" s="9" t="str">
        <f>VLOOKUP(B1968,COA!A:B,2,FALSE)</f>
        <v>Misc Maint - Transmission &amp; Distr - Struct &amp; Imp</v>
      </c>
      <c r="D1968" s="338" t="str">
        <f t="shared" si="61"/>
        <v>C6756</v>
      </c>
      <c r="E1968" s="338" t="s">
        <v>8</v>
      </c>
      <c r="F1968" s="338" t="s">
        <v>6978</v>
      </c>
      <c r="G1968" s="338" t="s">
        <v>7</v>
      </c>
      <c r="H1968" s="204" t="s">
        <v>77</v>
      </c>
      <c r="I1968" s="204" t="s">
        <v>7528</v>
      </c>
    </row>
    <row r="1969" spans="1:9" x14ac:dyDescent="0.25">
      <c r="A1969" s="204" t="s">
        <v>2022</v>
      </c>
      <c r="B1969" s="9" t="str">
        <f t="shared" si="62"/>
        <v>62502415</v>
      </c>
      <c r="C1969" s="9" t="str">
        <f>VLOOKUP(B1969,COA!A:B,2,FALSE)</f>
        <v>Misc Maint - Transmission &amp; Distrib - Dist Res</v>
      </c>
      <c r="D1969" s="338" t="str">
        <f t="shared" si="61"/>
        <v>C6756</v>
      </c>
      <c r="E1969" s="338" t="s">
        <v>8</v>
      </c>
      <c r="F1969" s="338" t="s">
        <v>6959</v>
      </c>
      <c r="G1969" s="338" t="s">
        <v>7</v>
      </c>
      <c r="H1969" s="204" t="s">
        <v>77</v>
      </c>
      <c r="I1969" s="204" t="s">
        <v>7528</v>
      </c>
    </row>
    <row r="1970" spans="1:9" x14ac:dyDescent="0.25">
      <c r="A1970" s="204" t="s">
        <v>2023</v>
      </c>
      <c r="B1970" s="9" t="str">
        <f t="shared" si="62"/>
        <v>62502420</v>
      </c>
      <c r="C1970" s="9" t="str">
        <f>VLOOKUP(B1970,COA!A:B,2,FALSE)</f>
        <v>Misc Maint - Transmission &amp; Distribution - Mains</v>
      </c>
      <c r="D1970" s="338" t="str">
        <f t="shared" si="61"/>
        <v>C6756</v>
      </c>
      <c r="E1970" s="338" t="s">
        <v>8</v>
      </c>
      <c r="F1970" s="338" t="s">
        <v>6982</v>
      </c>
      <c r="G1970" s="338" t="s">
        <v>7</v>
      </c>
      <c r="H1970" s="204" t="s">
        <v>77</v>
      </c>
      <c r="I1970" s="204" t="s">
        <v>7528</v>
      </c>
    </row>
    <row r="1971" spans="1:9" x14ac:dyDescent="0.25">
      <c r="A1971" s="204" t="s">
        <v>2024</v>
      </c>
      <c r="B1971" s="9" t="str">
        <f t="shared" si="62"/>
        <v>62502425</v>
      </c>
      <c r="C1971" s="9" t="str">
        <f>VLOOKUP(B1971,COA!A:B,2,FALSE)</f>
        <v>Misc Maint - Transmission &amp; Distrib - Fire Main</v>
      </c>
      <c r="D1971" s="338" t="str">
        <f t="shared" si="61"/>
        <v>C6756</v>
      </c>
      <c r="E1971" s="338" t="s">
        <v>8</v>
      </c>
      <c r="F1971" s="338" t="s">
        <v>30</v>
      </c>
      <c r="G1971" s="338" t="s">
        <v>7</v>
      </c>
      <c r="H1971" s="204" t="s">
        <v>77</v>
      </c>
      <c r="I1971" s="204" t="s">
        <v>7528</v>
      </c>
    </row>
    <row r="1972" spans="1:9" x14ac:dyDescent="0.25">
      <c r="A1972" s="204" t="s">
        <v>2025</v>
      </c>
      <c r="B1972" s="9" t="str">
        <f t="shared" si="62"/>
        <v>62502430</v>
      </c>
      <c r="C1972" s="9" t="str">
        <f>VLOOKUP(B1972,COA!A:B,2,FALSE)</f>
        <v>Misc Maint - Transmission &amp; Distribution - Service</v>
      </c>
      <c r="D1972" s="338" t="str">
        <f t="shared" si="61"/>
        <v>C6756</v>
      </c>
      <c r="E1972" s="338" t="s">
        <v>8</v>
      </c>
      <c r="F1972" s="338" t="s">
        <v>27</v>
      </c>
      <c r="G1972" s="338" t="s">
        <v>7</v>
      </c>
      <c r="H1972" s="204" t="s">
        <v>77</v>
      </c>
      <c r="I1972" s="204" t="s">
        <v>7528</v>
      </c>
    </row>
    <row r="1973" spans="1:9" x14ac:dyDescent="0.25">
      <c r="A1973" s="204" t="s">
        <v>2026</v>
      </c>
      <c r="B1973" s="9" t="str">
        <f t="shared" si="62"/>
        <v>62502435</v>
      </c>
      <c r="C1973" s="9" t="str">
        <f>VLOOKUP(B1973,COA!A:B,2,FALSE)</f>
        <v>Misc Maint - Transmission &amp; Distribution - Meters</v>
      </c>
      <c r="D1973" s="338" t="str">
        <f t="shared" si="61"/>
        <v>C6756</v>
      </c>
      <c r="E1973" s="338" t="s">
        <v>8</v>
      </c>
      <c r="F1973" s="338" t="s">
        <v>28</v>
      </c>
      <c r="G1973" s="338" t="s">
        <v>7</v>
      </c>
      <c r="H1973" s="204" t="s">
        <v>77</v>
      </c>
      <c r="I1973" s="204" t="s">
        <v>7528</v>
      </c>
    </row>
    <row r="1974" spans="1:9" x14ac:dyDescent="0.25">
      <c r="A1974" s="204" t="s">
        <v>2027</v>
      </c>
      <c r="B1974" s="9" t="str">
        <f t="shared" si="62"/>
        <v>62502440</v>
      </c>
      <c r="C1974" s="9" t="str">
        <f>VLOOKUP(B1974,COA!A:B,2,FALSE)</f>
        <v>Misc Maint - Transmission &amp; Distribution - Hydrant</v>
      </c>
      <c r="D1974" s="338" t="str">
        <f t="shared" si="61"/>
        <v>C6756</v>
      </c>
      <c r="E1974" s="338" t="s">
        <v>8</v>
      </c>
      <c r="F1974" s="338" t="s">
        <v>30</v>
      </c>
      <c r="G1974" s="338" t="s">
        <v>7</v>
      </c>
      <c r="H1974" s="204" t="s">
        <v>77</v>
      </c>
      <c r="I1974" s="204" t="s">
        <v>7528</v>
      </c>
    </row>
    <row r="1975" spans="1:9" x14ac:dyDescent="0.25">
      <c r="A1975" s="204" t="s">
        <v>2028</v>
      </c>
      <c r="B1975" s="9" t="str">
        <f t="shared" si="62"/>
        <v>62502600</v>
      </c>
      <c r="C1975" s="9" t="str">
        <f>VLOOKUP(B1975,COA!A:B,2,FALSE)</f>
        <v>Misc Maint - Admin &amp; General</v>
      </c>
      <c r="D1975" s="338" t="str">
        <f t="shared" si="61"/>
        <v>C6758</v>
      </c>
      <c r="E1975" s="338" t="s">
        <v>8</v>
      </c>
      <c r="F1975" s="338" t="s">
        <v>6866</v>
      </c>
      <c r="G1975" s="338" t="s">
        <v>7</v>
      </c>
      <c r="H1975" s="204" t="s">
        <v>77</v>
      </c>
      <c r="I1975" s="204" t="s">
        <v>7465</v>
      </c>
    </row>
    <row r="1976" spans="1:9" x14ac:dyDescent="0.25">
      <c r="A1976" s="204" t="s">
        <v>2029</v>
      </c>
      <c r="B1976" s="9" t="str">
        <f t="shared" si="62"/>
        <v>62510000</v>
      </c>
      <c r="C1976" s="9" t="str">
        <f>VLOOKUP(B1976,COA!A:B,2,FALSE)</f>
        <v>Amort Def Maint - Natural Account</v>
      </c>
      <c r="D1976" s="338" t="str">
        <f t="shared" si="61"/>
        <v>C6756</v>
      </c>
      <c r="E1976" s="338" t="s">
        <v>8</v>
      </c>
      <c r="G1976" s="338">
        <v>0</v>
      </c>
      <c r="H1976" s="204" t="s">
        <v>77</v>
      </c>
      <c r="I1976" s="204" t="s">
        <v>7528</v>
      </c>
    </row>
    <row r="1977" spans="1:9" x14ac:dyDescent="0.25">
      <c r="A1977" s="204" t="s">
        <v>2030</v>
      </c>
      <c r="B1977" s="9" t="str">
        <f t="shared" si="62"/>
        <v>62512100</v>
      </c>
      <c r="C1977" s="9" t="str">
        <f>VLOOKUP(B1977,COA!A:B,2,FALSE)</f>
        <v>Amort Def Maint - Source of Supply</v>
      </c>
      <c r="D1977" s="338" t="str">
        <f t="shared" si="61"/>
        <v>C6752</v>
      </c>
      <c r="E1977" s="338" t="s">
        <v>8</v>
      </c>
      <c r="F1977" s="338" t="s">
        <v>23</v>
      </c>
      <c r="G1977" s="338">
        <v>0</v>
      </c>
      <c r="H1977" s="204" t="s">
        <v>77</v>
      </c>
      <c r="I1977" s="204" t="s">
        <v>7526</v>
      </c>
    </row>
    <row r="1978" spans="1:9" x14ac:dyDescent="0.25">
      <c r="A1978" s="204" t="s">
        <v>2031</v>
      </c>
      <c r="B1978" s="9" t="str">
        <f t="shared" si="62"/>
        <v>62512200</v>
      </c>
      <c r="C1978" s="9" t="str">
        <f>VLOOKUP(B1978,COA!A:B,2,FALSE)</f>
        <v>Amort Def Maint - Pumping</v>
      </c>
      <c r="D1978" s="338" t="str">
        <f t="shared" si="61"/>
        <v>C6752</v>
      </c>
      <c r="E1978" s="338" t="s">
        <v>8</v>
      </c>
      <c r="F1978" s="338" t="s">
        <v>6865</v>
      </c>
      <c r="G1978" s="338">
        <v>0</v>
      </c>
      <c r="H1978" s="204" t="s">
        <v>77</v>
      </c>
      <c r="I1978" s="204" t="s">
        <v>7526</v>
      </c>
    </row>
    <row r="1979" spans="1:9" x14ac:dyDescent="0.25">
      <c r="A1979" s="204" t="s">
        <v>2032</v>
      </c>
      <c r="B1979" s="9" t="str">
        <f t="shared" si="62"/>
        <v>62512300</v>
      </c>
      <c r="C1979" s="9" t="str">
        <f>VLOOKUP(B1979,COA!A:B,2,FALSE)</f>
        <v>Amort Def Maint - Water Treatment</v>
      </c>
      <c r="D1979" s="338" t="str">
        <f t="shared" si="61"/>
        <v>C6754</v>
      </c>
      <c r="E1979" s="338" t="s">
        <v>8</v>
      </c>
      <c r="F1979" s="338" t="s">
        <v>9</v>
      </c>
      <c r="G1979" s="338">
        <v>0</v>
      </c>
      <c r="H1979" s="204" t="s">
        <v>77</v>
      </c>
      <c r="I1979" s="204" t="s">
        <v>7527</v>
      </c>
    </row>
    <row r="1980" spans="1:9" x14ac:dyDescent="0.25">
      <c r="A1980" s="204" t="s">
        <v>2033</v>
      </c>
      <c r="B1980" s="9" t="str">
        <f t="shared" si="62"/>
        <v>62512400</v>
      </c>
      <c r="C1980" s="9" t="str">
        <f>VLOOKUP(B1980,COA!A:B,2,FALSE)</f>
        <v>Amort Def Maint - Transmission &amp; Distribution</v>
      </c>
      <c r="D1980" s="338" t="str">
        <f t="shared" si="61"/>
        <v>C6756</v>
      </c>
      <c r="E1980" s="338" t="s">
        <v>8</v>
      </c>
      <c r="F1980" s="338" t="s">
        <v>6978</v>
      </c>
      <c r="G1980" s="338">
        <v>0</v>
      </c>
      <c r="H1980" s="204" t="s">
        <v>77</v>
      </c>
      <c r="I1980" s="204" t="s">
        <v>7528</v>
      </c>
    </row>
    <row r="1981" spans="1:9" x14ac:dyDescent="0.25">
      <c r="A1981" s="204" t="s">
        <v>2034</v>
      </c>
      <c r="B1981" s="9" t="str">
        <f t="shared" si="62"/>
        <v>62520700</v>
      </c>
      <c r="C1981" s="9" t="str">
        <f>VLOOKUP(B1981,COA!A:B,2,FALSE)</f>
        <v>Misc Maint Paving/Backfill</v>
      </c>
      <c r="D1981" s="338" t="str">
        <f t="shared" si="61"/>
        <v>C6756</v>
      </c>
      <c r="E1981" s="338" t="s">
        <v>8</v>
      </c>
      <c r="F1981" s="338" t="s">
        <v>6978</v>
      </c>
      <c r="G1981" s="338" t="s">
        <v>7</v>
      </c>
      <c r="H1981" s="204" t="s">
        <v>77</v>
      </c>
      <c r="I1981" s="204" t="s">
        <v>7528</v>
      </c>
    </row>
    <row r="1982" spans="1:9" x14ac:dyDescent="0.25">
      <c r="A1982" s="204" t="s">
        <v>2035</v>
      </c>
      <c r="B1982" s="9" t="str">
        <f t="shared" si="62"/>
        <v>62520800</v>
      </c>
      <c r="C1982" s="9" t="str">
        <f>VLOOKUP(B1982,COA!A:B,2,FALSE)</f>
        <v>Misc Maint Permits - Natural Account</v>
      </c>
      <c r="D1982" s="338" t="str">
        <f t="shared" si="61"/>
        <v>C6756</v>
      </c>
      <c r="E1982" s="338" t="s">
        <v>8</v>
      </c>
      <c r="F1982" s="338" t="s">
        <v>6978</v>
      </c>
      <c r="G1982" s="338" t="s">
        <v>7</v>
      </c>
      <c r="H1982" s="204" t="s">
        <v>77</v>
      </c>
      <c r="I1982" s="204" t="s">
        <v>7528</v>
      </c>
    </row>
    <row r="1983" spans="1:9" x14ac:dyDescent="0.25">
      <c r="A1983" s="204" t="s">
        <v>2036</v>
      </c>
      <c r="B1983" s="9" t="str">
        <f t="shared" si="62"/>
        <v>62520821</v>
      </c>
      <c r="C1983" s="9" t="str">
        <f>VLOOKUP(B1983,COA!A:B,2,FALSE)</f>
        <v>Misc Maint Permits - Source of Supply</v>
      </c>
      <c r="D1983" s="338" t="str">
        <f t="shared" si="61"/>
        <v>C6756</v>
      </c>
      <c r="E1983" s="338" t="s">
        <v>8</v>
      </c>
      <c r="F1983" s="338" t="s">
        <v>23</v>
      </c>
      <c r="G1983" s="338" t="s">
        <v>7</v>
      </c>
      <c r="H1983" s="204" t="s">
        <v>77</v>
      </c>
      <c r="I1983" s="204" t="s">
        <v>7528</v>
      </c>
    </row>
    <row r="1984" spans="1:9" x14ac:dyDescent="0.25">
      <c r="A1984" s="204" t="s">
        <v>2037</v>
      </c>
      <c r="B1984" s="9" t="str">
        <f t="shared" si="62"/>
        <v>62520824</v>
      </c>
      <c r="C1984" s="9" t="str">
        <f>VLOOKUP(B1984,COA!A:B,2,FALSE)</f>
        <v>Misc Maint Permits - Transmission &amp; Distribution</v>
      </c>
      <c r="D1984" s="338" t="str">
        <f t="shared" si="61"/>
        <v>C6756</v>
      </c>
      <c r="E1984" s="338" t="s">
        <v>8</v>
      </c>
      <c r="F1984" s="338" t="s">
        <v>6978</v>
      </c>
      <c r="G1984" s="338" t="s">
        <v>7</v>
      </c>
      <c r="H1984" s="204" t="s">
        <v>77</v>
      </c>
      <c r="I1984" s="204" t="s">
        <v>7528</v>
      </c>
    </row>
    <row r="1985" spans="1:9" x14ac:dyDescent="0.25">
      <c r="A1985" s="204" t="s">
        <v>2038</v>
      </c>
      <c r="B1985" s="9" t="str">
        <f t="shared" si="62"/>
        <v>63110021</v>
      </c>
      <c r="C1985" s="9" t="str">
        <f>VLOOKUP(B1985,COA!A:B,2,FALSE)</f>
        <v>Contract Svc-Eng Maint - Source of Supply</v>
      </c>
      <c r="D1985" s="338" t="str">
        <f t="shared" si="61"/>
        <v>C6312</v>
      </c>
      <c r="E1985" s="338" t="s">
        <v>8</v>
      </c>
      <c r="F1985" s="338" t="s">
        <v>23</v>
      </c>
      <c r="G1985" s="338" t="s">
        <v>13</v>
      </c>
      <c r="H1985" s="204" t="s">
        <v>77</v>
      </c>
      <c r="I1985" s="204" t="s">
        <v>7529</v>
      </c>
    </row>
    <row r="1986" spans="1:9" x14ac:dyDescent="0.25">
      <c r="A1986" s="204" t="s">
        <v>2039</v>
      </c>
      <c r="B1986" s="9" t="str">
        <f t="shared" si="62"/>
        <v>63110022</v>
      </c>
      <c r="C1986" s="9" t="str">
        <f>VLOOKUP(B1986,COA!A:B,2,FALSE)</f>
        <v>Contract Svc-Eng Maint - Pumping</v>
      </c>
      <c r="D1986" s="338" t="str">
        <f t="shared" si="61"/>
        <v>C6312</v>
      </c>
      <c r="E1986" s="338" t="s">
        <v>8</v>
      </c>
      <c r="F1986" s="338" t="s">
        <v>6865</v>
      </c>
      <c r="G1986" s="338" t="s">
        <v>13</v>
      </c>
      <c r="H1986" s="204" t="s">
        <v>77</v>
      </c>
      <c r="I1986" s="204" t="s">
        <v>7529</v>
      </c>
    </row>
    <row r="1987" spans="1:9" x14ac:dyDescent="0.25">
      <c r="A1987" s="204" t="s">
        <v>2040</v>
      </c>
      <c r="B1987" s="9" t="str">
        <f t="shared" si="62"/>
        <v>63110023</v>
      </c>
      <c r="C1987" s="9" t="str">
        <f>VLOOKUP(B1987,COA!A:B,2,FALSE)</f>
        <v>Contract Svc-Eng Maint - Water Treatment</v>
      </c>
      <c r="D1987" s="338" t="str">
        <f t="shared" si="61"/>
        <v>C6314</v>
      </c>
      <c r="E1987" s="338" t="s">
        <v>8</v>
      </c>
      <c r="F1987" s="338" t="s">
        <v>9</v>
      </c>
      <c r="G1987" s="338" t="s">
        <v>13</v>
      </c>
      <c r="H1987" s="204" t="s">
        <v>77</v>
      </c>
      <c r="I1987" s="204" t="s">
        <v>7530</v>
      </c>
    </row>
    <row r="1988" spans="1:9" x14ac:dyDescent="0.25">
      <c r="A1988" s="204" t="s">
        <v>2041</v>
      </c>
      <c r="B1988" s="9" t="str">
        <f t="shared" si="62"/>
        <v>63110024</v>
      </c>
      <c r="C1988" s="9" t="str">
        <f>VLOOKUP(B1988,COA!A:B,2,FALSE)</f>
        <v>Contract Svc-Eng Maint - Transmission &amp; Distr</v>
      </c>
      <c r="D1988" s="338" t="str">
        <f t="shared" si="61"/>
        <v>C6316</v>
      </c>
      <c r="E1988" s="338" t="s">
        <v>8</v>
      </c>
      <c r="F1988" s="338" t="s">
        <v>6978</v>
      </c>
      <c r="G1988" s="338" t="s">
        <v>13</v>
      </c>
      <c r="H1988" s="204" t="s">
        <v>77</v>
      </c>
      <c r="I1988" s="204" t="s">
        <v>7531</v>
      </c>
    </row>
    <row r="1989" spans="1:9" x14ac:dyDescent="0.25">
      <c r="A1989" s="204" t="s">
        <v>2042</v>
      </c>
      <c r="B1989" s="9" t="str">
        <f t="shared" si="62"/>
        <v>63110026</v>
      </c>
      <c r="C1989" s="9" t="str">
        <f>VLOOKUP(B1989,COA!A:B,2,FALSE)</f>
        <v>Contract Svc-Eng Maint - Admin &amp; General</v>
      </c>
      <c r="D1989" s="338" t="str">
        <f t="shared" si="61"/>
        <v>C6318</v>
      </c>
      <c r="E1989" s="338" t="s">
        <v>8</v>
      </c>
      <c r="F1989" s="338" t="s">
        <v>6866</v>
      </c>
      <c r="G1989" s="338" t="s">
        <v>13</v>
      </c>
      <c r="H1989" s="204" t="s">
        <v>77</v>
      </c>
      <c r="I1989" s="204" t="s">
        <v>7483</v>
      </c>
    </row>
    <row r="1990" spans="1:9" x14ac:dyDescent="0.25">
      <c r="A1990" s="204" t="s">
        <v>2043</v>
      </c>
      <c r="B1990" s="9" t="str">
        <f t="shared" si="62"/>
        <v>63150021</v>
      </c>
      <c r="C1990" s="9" t="str">
        <f>VLOOKUP(B1990,COA!A:B,2,FALSE)</f>
        <v>Contract Svc-Other Maint - Source of Supply</v>
      </c>
      <c r="D1990" s="338" t="str">
        <f t="shared" si="61"/>
        <v>C6362</v>
      </c>
      <c r="E1990" s="338" t="s">
        <v>8</v>
      </c>
      <c r="F1990" s="338" t="s">
        <v>23</v>
      </c>
      <c r="G1990" s="338" t="s">
        <v>5</v>
      </c>
      <c r="H1990" s="204" t="s">
        <v>77</v>
      </c>
      <c r="I1990" s="204" t="s">
        <v>7532</v>
      </c>
    </row>
    <row r="1991" spans="1:9" x14ac:dyDescent="0.25">
      <c r="A1991" s="204" t="s">
        <v>2044</v>
      </c>
      <c r="B1991" s="9" t="str">
        <f t="shared" si="62"/>
        <v>63150022</v>
      </c>
      <c r="C1991" s="9" t="str">
        <f>VLOOKUP(B1991,COA!A:B,2,FALSE)</f>
        <v>Contract Svc-Other Maint - Pumping</v>
      </c>
      <c r="D1991" s="338" t="str">
        <f t="shared" si="61"/>
        <v>C6363</v>
      </c>
      <c r="E1991" s="338" t="s">
        <v>8</v>
      </c>
      <c r="F1991" s="338" t="s">
        <v>6865</v>
      </c>
      <c r="G1991" s="338" t="s">
        <v>5</v>
      </c>
      <c r="H1991" s="204" t="s">
        <v>77</v>
      </c>
      <c r="I1991" s="204" t="s">
        <v>7490</v>
      </c>
    </row>
    <row r="1992" spans="1:9" x14ac:dyDescent="0.25">
      <c r="A1992" s="204" t="s">
        <v>2045</v>
      </c>
      <c r="B1992" s="9" t="str">
        <f t="shared" si="62"/>
        <v>63150023</v>
      </c>
      <c r="C1992" s="9" t="str">
        <f>VLOOKUP(B1992,COA!A:B,2,FALSE)</f>
        <v>Contract Svc-Other Maint - Water Treatment</v>
      </c>
      <c r="D1992" s="338" t="str">
        <f t="shared" si="61"/>
        <v>C6364</v>
      </c>
      <c r="E1992" s="338" t="s">
        <v>8</v>
      </c>
      <c r="F1992" s="338" t="s">
        <v>9</v>
      </c>
      <c r="G1992" s="338" t="s">
        <v>5</v>
      </c>
      <c r="H1992" s="204" t="s">
        <v>77</v>
      </c>
      <c r="I1992" s="204" t="s">
        <v>7533</v>
      </c>
    </row>
    <row r="1993" spans="1:9" x14ac:dyDescent="0.25">
      <c r="A1993" s="204" t="s">
        <v>2046</v>
      </c>
      <c r="B1993" s="9" t="str">
        <f t="shared" si="62"/>
        <v>63150024</v>
      </c>
      <c r="C1993" s="9" t="str">
        <f>VLOOKUP(B1993,COA!A:B,2,FALSE)</f>
        <v>Contract Svc-Other Maint - Transmission &amp; Distr</v>
      </c>
      <c r="D1993" s="338" t="str">
        <f t="shared" si="61"/>
        <v>C6366</v>
      </c>
      <c r="E1993" s="338" t="s">
        <v>8</v>
      </c>
      <c r="F1993" s="338" t="s">
        <v>6978</v>
      </c>
      <c r="G1993" s="338" t="s">
        <v>5</v>
      </c>
      <c r="H1993" s="204" t="s">
        <v>77</v>
      </c>
      <c r="I1993" s="204" t="s">
        <v>7534</v>
      </c>
    </row>
    <row r="1994" spans="1:9" x14ac:dyDescent="0.25">
      <c r="A1994" s="204" t="s">
        <v>2047</v>
      </c>
      <c r="B1994" s="9" t="str">
        <f t="shared" si="62"/>
        <v>63150026</v>
      </c>
      <c r="C1994" s="9" t="str">
        <f>VLOOKUP(B1994,COA!A:B,2,FALSE)</f>
        <v>Contract Svc-Other Maint - Admin &amp; General</v>
      </c>
      <c r="D1994" s="338" t="str">
        <f t="shared" si="61"/>
        <v>C6368</v>
      </c>
      <c r="E1994" s="338" t="s">
        <v>8</v>
      </c>
      <c r="F1994" s="338" t="s">
        <v>6866</v>
      </c>
      <c r="G1994" s="338" t="s">
        <v>5</v>
      </c>
      <c r="H1994" s="204" t="s">
        <v>77</v>
      </c>
      <c r="I1994" s="204" t="s">
        <v>7488</v>
      </c>
    </row>
    <row r="1995" spans="1:9" x14ac:dyDescent="0.25">
      <c r="A1995" s="204" t="s">
        <v>2048</v>
      </c>
      <c r="B1995" s="9" t="str">
        <f t="shared" si="62"/>
        <v>68011000</v>
      </c>
      <c r="C1995" s="9" t="str">
        <f>VLOOKUP(B1995,COA!A:B,2,FALSE)</f>
        <v>Depreciation Exp - UPIS General</v>
      </c>
      <c r="D1995" s="338" t="str">
        <f t="shared" ref="D1995:D2058" si="63">+I1995</f>
        <v>C403</v>
      </c>
      <c r="E1995" s="338" t="s">
        <v>6888</v>
      </c>
      <c r="G1995" s="338">
        <v>0</v>
      </c>
      <c r="H1995" s="204" t="s">
        <v>77</v>
      </c>
      <c r="I1995" s="204" t="s">
        <v>7535</v>
      </c>
    </row>
    <row r="1996" spans="1:9" x14ac:dyDescent="0.25">
      <c r="A1996" s="204" t="s">
        <v>2049</v>
      </c>
      <c r="B1996" s="9" t="str">
        <f t="shared" si="62"/>
        <v>68011200</v>
      </c>
      <c r="C1996" s="9" t="str">
        <f>VLOOKUP(B1996,COA!A:B,2,FALSE)</f>
        <v>Depreciation Exp - Non-Utility Property</v>
      </c>
      <c r="D1996" s="338" t="str">
        <f t="shared" si="63"/>
        <v>C403</v>
      </c>
      <c r="E1996" s="338" t="s">
        <v>6888</v>
      </c>
      <c r="G1996" s="338">
        <v>0</v>
      </c>
      <c r="H1996" s="204" t="s">
        <v>77</v>
      </c>
      <c r="I1996" s="204" t="s">
        <v>7535</v>
      </c>
    </row>
    <row r="1997" spans="1:9" x14ac:dyDescent="0.25">
      <c r="A1997" s="204" t="s">
        <v>2050</v>
      </c>
      <c r="B1997" s="9" t="str">
        <f t="shared" si="62"/>
        <v>68011500</v>
      </c>
      <c r="C1997" s="9" t="str">
        <f>VLOOKUP(B1997,COA!A:B,2,FALSE)</f>
        <v>Depreciation Exp - Amort Def Depreciation</v>
      </c>
      <c r="D1997" s="338" t="str">
        <f t="shared" si="63"/>
        <v>C403</v>
      </c>
      <c r="E1997" s="338" t="s">
        <v>6888</v>
      </c>
      <c r="G1997" s="338">
        <v>0</v>
      </c>
      <c r="H1997" s="204" t="s">
        <v>77</v>
      </c>
      <c r="I1997" s="204" t="s">
        <v>7535</v>
      </c>
    </row>
    <row r="1998" spans="1:9" x14ac:dyDescent="0.25">
      <c r="A1998" s="204" t="s">
        <v>2051</v>
      </c>
      <c r="B1998" s="9" t="str">
        <f t="shared" si="62"/>
        <v>68012000</v>
      </c>
      <c r="C1998" s="9" t="str">
        <f>VLOOKUP(B1998,COA!A:B,2,FALSE)</f>
        <v>Depreciation Exp - Amort CIAC Tax</v>
      </c>
      <c r="D1998" s="338" t="str">
        <f t="shared" si="63"/>
        <v>C403</v>
      </c>
      <c r="E1998" s="338" t="s">
        <v>6888</v>
      </c>
      <c r="G1998" s="338">
        <v>0</v>
      </c>
      <c r="H1998" s="204" t="s">
        <v>77</v>
      </c>
      <c r="I1998" s="204" t="s">
        <v>7535</v>
      </c>
    </row>
    <row r="1999" spans="1:9" x14ac:dyDescent="0.25">
      <c r="A1999" s="204" t="s">
        <v>2052</v>
      </c>
      <c r="B1999" s="9" t="str">
        <f t="shared" si="62"/>
        <v>68012500</v>
      </c>
      <c r="C1999" s="9" t="str">
        <f>VLOOKUP(B1999,COA!A:B,2,FALSE)</f>
        <v>Depreciation Exp - Amort CIAC Nontax</v>
      </c>
      <c r="D1999" s="338" t="str">
        <f t="shared" si="63"/>
        <v>C403</v>
      </c>
      <c r="E1999" s="338" t="s">
        <v>6888</v>
      </c>
      <c r="G1999" s="338">
        <v>0</v>
      </c>
      <c r="H1999" s="204" t="s">
        <v>77</v>
      </c>
      <c r="I1999" s="204" t="s">
        <v>7535</v>
      </c>
    </row>
    <row r="2000" spans="1:9" x14ac:dyDescent="0.25">
      <c r="A2000" s="204" t="s">
        <v>2053</v>
      </c>
      <c r="B2000" s="9" t="str">
        <f t="shared" si="62"/>
        <v>68013000</v>
      </c>
      <c r="C2000" s="9" t="str">
        <f>VLOOKUP(B2000,COA!A:B,2,FALSE)</f>
        <v>Depreciation Exp - UPAA FAS141</v>
      </c>
      <c r="D2000" s="338" t="str">
        <f t="shared" si="63"/>
        <v>C403</v>
      </c>
      <c r="E2000" s="338" t="s">
        <v>6888</v>
      </c>
      <c r="G2000" s="338">
        <v>0</v>
      </c>
      <c r="H2000" s="204" t="s">
        <v>77</v>
      </c>
      <c r="I2000" s="204" t="s">
        <v>7535</v>
      </c>
    </row>
    <row r="2001" spans="1:9" x14ac:dyDescent="0.25">
      <c r="A2001" s="204" t="s">
        <v>2054</v>
      </c>
      <c r="B2001" s="9" t="str">
        <f t="shared" si="62"/>
        <v>68013500</v>
      </c>
      <c r="C2001" s="9" t="str">
        <f>VLOOKUP(B2001,COA!A:B,2,FALSE)</f>
        <v>Depreciation Exp - Neg UPAA</v>
      </c>
      <c r="D2001" s="338" t="str">
        <f t="shared" si="63"/>
        <v>C403</v>
      </c>
      <c r="E2001" s="338" t="s">
        <v>6888</v>
      </c>
      <c r="G2001" s="338">
        <v>0</v>
      </c>
      <c r="H2001" s="204" t="s">
        <v>77</v>
      </c>
      <c r="I2001" s="204" t="s">
        <v>7535</v>
      </c>
    </row>
    <row r="2002" spans="1:9" x14ac:dyDescent="0.25">
      <c r="A2002" s="204" t="s">
        <v>2055</v>
      </c>
      <c r="B2002" s="9" t="str">
        <f t="shared" si="62"/>
        <v>68251000</v>
      </c>
      <c r="C2002" s="9" t="str">
        <f>VLOOKUP(B2002,COA!A:B,2,FALSE)</f>
        <v>Amortization - Ltd Term Plant</v>
      </c>
      <c r="D2002" s="338" t="str">
        <f t="shared" si="63"/>
        <v>C4071</v>
      </c>
      <c r="E2002" s="338" t="s">
        <v>37</v>
      </c>
      <c r="F2002" s="338" t="s">
        <v>4008</v>
      </c>
      <c r="G2002" s="338">
        <v>0</v>
      </c>
      <c r="H2002" s="204" t="s">
        <v>77</v>
      </c>
      <c r="I2002" s="204" t="s">
        <v>7536</v>
      </c>
    </row>
    <row r="2003" spans="1:9" x14ac:dyDescent="0.25">
      <c r="A2003" s="204" t="s">
        <v>2056</v>
      </c>
      <c r="B2003" s="9" t="str">
        <f t="shared" si="62"/>
        <v>68252000</v>
      </c>
      <c r="C2003" s="9" t="str">
        <f>VLOOKUP(B2003,COA!A:B,2,FALSE)</f>
        <v>Amortization - Capital Leases</v>
      </c>
      <c r="D2003" s="338" t="str">
        <f t="shared" si="63"/>
        <v>C4071</v>
      </c>
      <c r="E2003" s="338" t="s">
        <v>37</v>
      </c>
      <c r="F2003" s="338" t="s">
        <v>4009</v>
      </c>
      <c r="G2003" s="338">
        <v>0</v>
      </c>
      <c r="H2003" s="204" t="s">
        <v>77</v>
      </c>
      <c r="I2003" s="204" t="s">
        <v>7536</v>
      </c>
    </row>
    <row r="2004" spans="1:9" x14ac:dyDescent="0.25">
      <c r="A2004" s="204" t="s">
        <v>2057</v>
      </c>
      <c r="B2004" s="9" t="str">
        <f t="shared" si="62"/>
        <v>68253000</v>
      </c>
      <c r="C2004" s="9" t="str">
        <f>VLOOKUP(B2004,COA!A:B,2,FALSE)</f>
        <v>Amortization - Post In-Service AFUDC</v>
      </c>
      <c r="D2004" s="338" t="str">
        <f t="shared" si="63"/>
        <v>C4071</v>
      </c>
      <c r="E2004" s="338" t="s">
        <v>37</v>
      </c>
      <c r="F2004" s="338" t="s">
        <v>4010</v>
      </c>
      <c r="G2004" s="338">
        <v>0</v>
      </c>
      <c r="H2004" s="204" t="s">
        <v>77</v>
      </c>
      <c r="I2004" s="204" t="s">
        <v>7536</v>
      </c>
    </row>
    <row r="2005" spans="1:9" x14ac:dyDescent="0.25">
      <c r="A2005" s="204" t="s">
        <v>2058</v>
      </c>
      <c r="B2005" s="9" t="str">
        <f t="shared" si="62"/>
        <v>68254000</v>
      </c>
      <c r="C2005" s="9" t="str">
        <f>VLOOKUP(B2005,COA!A:B,2,FALSE)</f>
        <v>Amortization - Reg Asset AFUDC</v>
      </c>
      <c r="D2005" s="338" t="str">
        <f t="shared" si="63"/>
        <v>C4071</v>
      </c>
      <c r="E2005" s="338" t="s">
        <v>37</v>
      </c>
      <c r="F2005" s="338" t="s">
        <v>4011</v>
      </c>
      <c r="G2005" s="338">
        <v>0</v>
      </c>
      <c r="H2005" s="204" t="s">
        <v>77</v>
      </c>
      <c r="I2005" s="204" t="s">
        <v>7536</v>
      </c>
    </row>
    <row r="2006" spans="1:9" x14ac:dyDescent="0.25">
      <c r="A2006" s="204" t="s">
        <v>2059</v>
      </c>
      <c r="B2006" s="9" t="str">
        <f t="shared" si="62"/>
        <v>68255000</v>
      </c>
      <c r="C2006" s="9" t="str">
        <f>VLOOKUP(B2006,COA!A:B,2,FALSE)</f>
        <v>Amortization - UPAA</v>
      </c>
      <c r="D2006" s="338" t="str">
        <f t="shared" si="63"/>
        <v>C406</v>
      </c>
      <c r="E2006" s="338" t="s">
        <v>37</v>
      </c>
      <c r="F2006" s="338" t="s">
        <v>4012</v>
      </c>
      <c r="G2006" s="338">
        <v>0</v>
      </c>
      <c r="H2006" s="204" t="s">
        <v>77</v>
      </c>
      <c r="I2006" s="204" t="s">
        <v>7537</v>
      </c>
    </row>
    <row r="2007" spans="1:9" x14ac:dyDescent="0.25">
      <c r="A2007" s="204" t="s">
        <v>2060</v>
      </c>
      <c r="B2007" s="9" t="str">
        <f t="shared" si="62"/>
        <v>68256000</v>
      </c>
      <c r="C2007" s="9" t="str">
        <f>VLOOKUP(B2007,COA!A:B,2,FALSE)</f>
        <v>Amortization - Intangible Finite Life</v>
      </c>
      <c r="D2007" s="338" t="str">
        <f t="shared" si="63"/>
        <v>C406</v>
      </c>
      <c r="E2007" s="338" t="s">
        <v>37</v>
      </c>
      <c r="F2007" s="338" t="s">
        <v>4013</v>
      </c>
      <c r="G2007" s="338">
        <v>0</v>
      </c>
      <c r="H2007" s="204" t="s">
        <v>77</v>
      </c>
      <c r="I2007" s="204" t="s">
        <v>7537</v>
      </c>
    </row>
    <row r="2008" spans="1:9" x14ac:dyDescent="0.25">
      <c r="A2008" s="204" t="s">
        <v>2061</v>
      </c>
      <c r="B2008" s="9" t="str">
        <f t="shared" si="62"/>
        <v>68257000</v>
      </c>
      <c r="C2008" s="9" t="str">
        <f>VLOOKUP(B2008,COA!A:B,2,FALSE)</f>
        <v>Amortization - Property Losses</v>
      </c>
      <c r="D2008" s="338" t="str">
        <f t="shared" si="63"/>
        <v>C4072</v>
      </c>
      <c r="E2008" s="338" t="s">
        <v>37</v>
      </c>
      <c r="F2008" s="338" t="s">
        <v>4014</v>
      </c>
      <c r="G2008" s="338">
        <v>0</v>
      </c>
      <c r="H2008" s="204" t="s">
        <v>77</v>
      </c>
      <c r="I2008" s="204" t="s">
        <v>7538</v>
      </c>
    </row>
    <row r="2009" spans="1:9" x14ac:dyDescent="0.25">
      <c r="A2009" s="204" t="s">
        <v>2062</v>
      </c>
      <c r="B2009" s="9" t="str">
        <f t="shared" si="62"/>
        <v>68258000</v>
      </c>
      <c r="C2009" s="9" t="str">
        <f>VLOOKUP(B2009,COA!A:B,2,FALSE)</f>
        <v>Amortization - Reg Asset</v>
      </c>
      <c r="D2009" s="338" t="str">
        <f t="shared" si="63"/>
        <v>C4074</v>
      </c>
      <c r="E2009" s="338" t="s">
        <v>37</v>
      </c>
      <c r="F2009" s="338" t="s">
        <v>4015</v>
      </c>
      <c r="G2009" s="338">
        <v>0</v>
      </c>
      <c r="H2009" s="204" t="s">
        <v>77</v>
      </c>
      <c r="I2009" s="204" t="s">
        <v>7539</v>
      </c>
    </row>
    <row r="2010" spans="1:9" x14ac:dyDescent="0.25">
      <c r="A2010" s="204" t="s">
        <v>2063</v>
      </c>
      <c r="B2010" s="9" t="str">
        <f t="shared" si="62"/>
        <v>68259000</v>
      </c>
      <c r="C2010" s="9" t="str">
        <f>VLOOKUP(B2010,COA!A:B,2,FALSE)</f>
        <v>Amortization - Other UP</v>
      </c>
      <c r="D2010" s="338" t="str">
        <f t="shared" si="63"/>
        <v>C4073</v>
      </c>
      <c r="E2010" s="338" t="s">
        <v>37</v>
      </c>
      <c r="F2010" s="338" t="s">
        <v>4016</v>
      </c>
      <c r="G2010" s="338">
        <v>0</v>
      </c>
      <c r="H2010" s="204" t="s">
        <v>77</v>
      </c>
      <c r="I2010" s="204" t="s">
        <v>7540</v>
      </c>
    </row>
    <row r="2011" spans="1:9" x14ac:dyDescent="0.25">
      <c r="A2011" s="204" t="s">
        <v>2064</v>
      </c>
      <c r="B2011" s="9" t="str">
        <f t="shared" si="62"/>
        <v>68311000</v>
      </c>
      <c r="C2011" s="9" t="str">
        <f>VLOOKUP(B2011,COA!A:B,2,FALSE)</f>
        <v>Removal Costs - ARO/Net Neg Salvage</v>
      </c>
      <c r="D2011" s="338" t="str">
        <f t="shared" si="63"/>
        <v>C403</v>
      </c>
      <c r="E2011" s="338" t="s">
        <v>6889</v>
      </c>
      <c r="G2011" s="338">
        <v>0</v>
      </c>
      <c r="H2011" s="204" t="s">
        <v>77</v>
      </c>
      <c r="I2011" s="204" t="s">
        <v>7535</v>
      </c>
    </row>
    <row r="2012" spans="1:9" x14ac:dyDescent="0.25">
      <c r="A2012" s="204" t="s">
        <v>2065</v>
      </c>
      <c r="B2012" s="9" t="str">
        <f t="shared" si="62"/>
        <v>68312000</v>
      </c>
      <c r="C2012" s="9" t="str">
        <f>VLOOKUP(B2012,COA!A:B,2,FALSE)</f>
        <v>Removal Costs - Net Negative Salvage CIAC Tax</v>
      </c>
      <c r="D2012" s="338" t="str">
        <f t="shared" si="63"/>
        <v>C403</v>
      </c>
      <c r="E2012" s="338" t="s">
        <v>6889</v>
      </c>
      <c r="G2012" s="338">
        <v>0</v>
      </c>
      <c r="H2012" s="204" t="s">
        <v>77</v>
      </c>
      <c r="I2012" s="204" t="s">
        <v>7535</v>
      </c>
    </row>
    <row r="2013" spans="1:9" x14ac:dyDescent="0.25">
      <c r="A2013" s="204" t="s">
        <v>2066</v>
      </c>
      <c r="B2013" s="9" t="str">
        <f t="shared" si="62"/>
        <v>68312500</v>
      </c>
      <c r="C2013" s="9" t="str">
        <f>VLOOKUP(B2013,COA!A:B,2,FALSE)</f>
        <v>Removal Costs - Net Negative Salvage CIAC Non-Tax</v>
      </c>
      <c r="D2013" s="338" t="str">
        <f t="shared" si="63"/>
        <v>C403</v>
      </c>
      <c r="E2013" s="338" t="s">
        <v>6889</v>
      </c>
      <c r="G2013" s="338">
        <v>0</v>
      </c>
      <c r="H2013" s="204" t="s">
        <v>77</v>
      </c>
      <c r="I2013" s="204" t="s">
        <v>7535</v>
      </c>
    </row>
    <row r="2014" spans="1:9" x14ac:dyDescent="0.25">
      <c r="A2014" s="204" t="s">
        <v>2067</v>
      </c>
      <c r="B2014" s="9" t="str">
        <f t="shared" si="62"/>
        <v>68520000</v>
      </c>
      <c r="C2014" s="9" t="str">
        <f>VLOOKUP(B2014,COA!A:B,2,FALSE)</f>
        <v>Property Taxes</v>
      </c>
      <c r="D2014" s="338" t="str">
        <f t="shared" si="63"/>
        <v>C40811</v>
      </c>
      <c r="E2014" s="338" t="s">
        <v>6890</v>
      </c>
      <c r="F2014" s="338" t="s">
        <v>19</v>
      </c>
      <c r="G2014" s="338" t="s">
        <v>19</v>
      </c>
      <c r="H2014" s="204" t="s">
        <v>77</v>
      </c>
      <c r="I2014" s="204" t="s">
        <v>7541</v>
      </c>
    </row>
    <row r="2015" spans="1:9" x14ac:dyDescent="0.25">
      <c r="A2015" s="204" t="s">
        <v>2068</v>
      </c>
      <c r="B2015" s="9" t="str">
        <f t="shared" si="62"/>
        <v>68520100</v>
      </c>
      <c r="C2015" s="9" t="str">
        <f>VLOOKUP(B2015,COA!A:B,2,FALSE)</f>
        <v>Tax Discounts</v>
      </c>
      <c r="D2015" s="338" t="str">
        <f t="shared" si="63"/>
        <v>C40811</v>
      </c>
      <c r="E2015" s="338" t="s">
        <v>6890</v>
      </c>
      <c r="F2015" s="338" t="s">
        <v>19</v>
      </c>
      <c r="G2015" s="338" t="s">
        <v>19</v>
      </c>
      <c r="H2015" s="204" t="s">
        <v>77</v>
      </c>
      <c r="I2015" s="204" t="s">
        <v>7541</v>
      </c>
    </row>
    <row r="2016" spans="1:9" x14ac:dyDescent="0.25">
      <c r="A2016" s="204" t="s">
        <v>2069</v>
      </c>
      <c r="B2016" s="9" t="str">
        <f t="shared" si="62"/>
        <v>68529000</v>
      </c>
      <c r="C2016" s="9" t="str">
        <f>VLOOKUP(B2016,COA!A:B,2,FALSE)</f>
        <v>Property Tax Non-Utility Property</v>
      </c>
      <c r="D2016" s="338" t="str">
        <f t="shared" si="63"/>
        <v>C40820</v>
      </c>
      <c r="E2016" s="338" t="s">
        <v>6890</v>
      </c>
      <c r="F2016" s="338" t="s">
        <v>19</v>
      </c>
      <c r="G2016" s="338" t="s">
        <v>19</v>
      </c>
      <c r="H2016" s="204" t="s">
        <v>77</v>
      </c>
      <c r="I2016" s="204" t="s">
        <v>7542</v>
      </c>
    </row>
    <row r="2017" spans="1:9" x14ac:dyDescent="0.25">
      <c r="A2017" s="204" t="s">
        <v>2070</v>
      </c>
      <c r="B2017" s="9" t="str">
        <f t="shared" si="62"/>
        <v>68532000</v>
      </c>
      <c r="C2017" s="9" t="str">
        <f>VLOOKUP(B2017,COA!A:B,2,FALSE)</f>
        <v>FUTA</v>
      </c>
      <c r="D2017" s="338" t="str">
        <f t="shared" si="63"/>
        <v>C40812</v>
      </c>
      <c r="E2017" s="338" t="s">
        <v>6890</v>
      </c>
      <c r="F2017" s="338" t="s">
        <v>7162</v>
      </c>
      <c r="G2017" s="338" t="s">
        <v>7162</v>
      </c>
      <c r="H2017" s="204" t="s">
        <v>77</v>
      </c>
      <c r="I2017" s="204" t="s">
        <v>7543</v>
      </c>
    </row>
    <row r="2018" spans="1:9" x14ac:dyDescent="0.25">
      <c r="A2018" s="204" t="s">
        <v>2071</v>
      </c>
      <c r="B2018" s="9" t="str">
        <f t="shared" si="62"/>
        <v>68532100</v>
      </c>
      <c r="C2018" s="9" t="str">
        <f>VLOOKUP(B2018,COA!A:B,2,FALSE)</f>
        <v>FUTA Cap Credits</v>
      </c>
      <c r="D2018" s="338" t="str">
        <f t="shared" si="63"/>
        <v>C40812</v>
      </c>
      <c r="E2018" s="338" t="s">
        <v>6890</v>
      </c>
      <c r="F2018" s="338" t="s">
        <v>7162</v>
      </c>
      <c r="G2018" s="338" t="s">
        <v>7162</v>
      </c>
      <c r="H2018" s="204" t="s">
        <v>77</v>
      </c>
      <c r="I2018" s="204" t="s">
        <v>7543</v>
      </c>
    </row>
    <row r="2019" spans="1:9" x14ac:dyDescent="0.25">
      <c r="A2019" s="204" t="s">
        <v>2072</v>
      </c>
      <c r="B2019" s="9" t="str">
        <f t="shared" si="62"/>
        <v>68533000</v>
      </c>
      <c r="C2019" s="9" t="str">
        <f>VLOOKUP(B2019,COA!A:B,2,FALSE)</f>
        <v>FICA</v>
      </c>
      <c r="D2019" s="338" t="str">
        <f t="shared" si="63"/>
        <v>C40812</v>
      </c>
      <c r="E2019" s="338" t="s">
        <v>6890</v>
      </c>
      <c r="F2019" s="338" t="s">
        <v>7162</v>
      </c>
      <c r="G2019" s="338" t="s">
        <v>7162</v>
      </c>
      <c r="H2019" s="204" t="s">
        <v>77</v>
      </c>
      <c r="I2019" s="204" t="s">
        <v>7543</v>
      </c>
    </row>
    <row r="2020" spans="1:9" x14ac:dyDescent="0.25">
      <c r="A2020" s="204" t="s">
        <v>2073</v>
      </c>
      <c r="B2020" s="9" t="str">
        <f t="shared" si="62"/>
        <v>68533100</v>
      </c>
      <c r="C2020" s="9" t="str">
        <f>VLOOKUP(B2020,COA!A:B,2,FALSE)</f>
        <v>FICA Cap Credits</v>
      </c>
      <c r="D2020" s="338" t="str">
        <f t="shared" si="63"/>
        <v>C40812</v>
      </c>
      <c r="E2020" s="338" t="s">
        <v>6890</v>
      </c>
      <c r="F2020" s="338" t="s">
        <v>7162</v>
      </c>
      <c r="G2020" s="338" t="s">
        <v>7162</v>
      </c>
      <c r="H2020" s="204" t="s">
        <v>77</v>
      </c>
      <c r="I2020" s="204" t="s">
        <v>7543</v>
      </c>
    </row>
    <row r="2021" spans="1:9" x14ac:dyDescent="0.25">
      <c r="A2021" s="204" t="s">
        <v>2074</v>
      </c>
      <c r="B2021" s="9" t="str">
        <f t="shared" si="62"/>
        <v>68535000</v>
      </c>
      <c r="C2021" s="9" t="str">
        <f>VLOOKUP(B2021,COA!A:B,2,FALSE)</f>
        <v>SUTA</v>
      </c>
      <c r="D2021" s="338" t="str">
        <f t="shared" si="63"/>
        <v>C40812</v>
      </c>
      <c r="E2021" s="338" t="s">
        <v>6890</v>
      </c>
      <c r="F2021" s="338" t="s">
        <v>7162</v>
      </c>
      <c r="G2021" s="338" t="s">
        <v>7162</v>
      </c>
      <c r="H2021" s="204" t="s">
        <v>77</v>
      </c>
      <c r="I2021" s="204" t="s">
        <v>7543</v>
      </c>
    </row>
    <row r="2022" spans="1:9" x14ac:dyDescent="0.25">
      <c r="A2022" s="204" t="s">
        <v>2075</v>
      </c>
      <c r="B2022" s="9" t="str">
        <f t="shared" si="62"/>
        <v>68535100</v>
      </c>
      <c r="C2022" s="9" t="str">
        <f>VLOOKUP(B2022,COA!A:B,2,FALSE)</f>
        <v>SUTA Cap Credits</v>
      </c>
      <c r="D2022" s="338" t="str">
        <f t="shared" si="63"/>
        <v>C40812</v>
      </c>
      <c r="E2022" s="338" t="s">
        <v>6890</v>
      </c>
      <c r="F2022" s="338" t="s">
        <v>7162</v>
      </c>
      <c r="G2022" s="338" t="s">
        <v>7162</v>
      </c>
      <c r="H2022" s="204" t="s">
        <v>77</v>
      </c>
      <c r="I2022" s="204" t="s">
        <v>7543</v>
      </c>
    </row>
    <row r="2023" spans="1:9" x14ac:dyDescent="0.25">
      <c r="A2023" s="204" t="s">
        <v>2076</v>
      </c>
      <c r="B2023" s="9" t="str">
        <f t="shared" si="62"/>
        <v>68536000</v>
      </c>
      <c r="C2023" s="9" t="str">
        <f>VLOOKUP(B2023,COA!A:B,2,FALSE)</f>
        <v>ER Local Tax</v>
      </c>
      <c r="D2023" s="338" t="str">
        <f t="shared" si="63"/>
        <v>C40812</v>
      </c>
      <c r="E2023" s="338" t="s">
        <v>6890</v>
      </c>
      <c r="F2023" s="338" t="s">
        <v>6899</v>
      </c>
      <c r="G2023" s="338" t="s">
        <v>6899</v>
      </c>
      <c r="H2023" s="204" t="s">
        <v>77</v>
      </c>
      <c r="I2023" s="204" t="s">
        <v>7543</v>
      </c>
    </row>
    <row r="2024" spans="1:9" x14ac:dyDescent="0.25">
      <c r="A2024" s="204" t="s">
        <v>2077</v>
      </c>
      <c r="B2024" s="9" t="str">
        <f t="shared" si="62"/>
        <v>68536100</v>
      </c>
      <c r="C2024" s="9" t="str">
        <f>VLOOKUP(B2024,COA!A:B,2,FALSE)</f>
        <v>Local Cap Credit</v>
      </c>
      <c r="D2024" s="338" t="str">
        <f t="shared" si="63"/>
        <v>C40812</v>
      </c>
      <c r="E2024" s="338" t="s">
        <v>6890</v>
      </c>
      <c r="F2024" s="338" t="s">
        <v>6899</v>
      </c>
      <c r="G2024" s="338" t="s">
        <v>6899</v>
      </c>
      <c r="H2024" s="204" t="s">
        <v>77</v>
      </c>
      <c r="I2024" s="204" t="s">
        <v>7543</v>
      </c>
    </row>
    <row r="2025" spans="1:9" x14ac:dyDescent="0.25">
      <c r="A2025" s="204" t="s">
        <v>2078</v>
      </c>
      <c r="B2025" s="9" t="str">
        <f t="shared" si="62"/>
        <v>68541000</v>
      </c>
      <c r="C2025" s="9" t="str">
        <f>VLOOKUP(B2025,COA!A:B,2,FALSE)</f>
        <v>Capital Stock Tax</v>
      </c>
      <c r="D2025" s="338" t="str">
        <f t="shared" si="63"/>
        <v>C40813</v>
      </c>
      <c r="E2025" s="338" t="s">
        <v>6890</v>
      </c>
      <c r="F2025" s="338" t="s">
        <v>6899</v>
      </c>
      <c r="G2025" s="338" t="s">
        <v>6899</v>
      </c>
      <c r="H2025" s="204" t="s">
        <v>77</v>
      </c>
      <c r="I2025" s="204" t="s">
        <v>7544</v>
      </c>
    </row>
    <row r="2026" spans="1:9" x14ac:dyDescent="0.25">
      <c r="A2026" s="204" t="s">
        <v>2079</v>
      </c>
      <c r="B2026" s="9" t="str">
        <f t="shared" si="62"/>
        <v>68542000</v>
      </c>
      <c r="C2026" s="9" t="str">
        <f>VLOOKUP(B2026,COA!A:B,2,FALSE)</f>
        <v>Enviromental Tax</v>
      </c>
      <c r="D2026" s="338" t="str">
        <f t="shared" si="63"/>
        <v>C40813</v>
      </c>
      <c r="E2026" s="338" t="s">
        <v>6890</v>
      </c>
      <c r="F2026" s="338" t="s">
        <v>6899</v>
      </c>
      <c r="G2026" s="338" t="s">
        <v>6899</v>
      </c>
      <c r="H2026" s="204" t="s">
        <v>77</v>
      </c>
      <c r="I2026" s="204" t="s">
        <v>7544</v>
      </c>
    </row>
    <row r="2027" spans="1:9" x14ac:dyDescent="0.25">
      <c r="A2027" s="204" t="s">
        <v>2080</v>
      </c>
      <c r="B2027" s="9" t="str">
        <f t="shared" si="62"/>
        <v>68543000</v>
      </c>
      <c r="C2027" s="9" t="str">
        <f>VLOOKUP(B2027,COA!A:B,2,FALSE)</f>
        <v>Other Taxes and Licenses</v>
      </c>
      <c r="D2027" s="338" t="str">
        <f t="shared" si="63"/>
        <v>C40813</v>
      </c>
      <c r="E2027" s="338" t="s">
        <v>6890</v>
      </c>
      <c r="F2027" s="338" t="s">
        <v>6899</v>
      </c>
      <c r="G2027" s="338" t="s">
        <v>6899</v>
      </c>
      <c r="H2027" s="204" t="s">
        <v>77</v>
      </c>
      <c r="I2027" s="204" t="s">
        <v>7544</v>
      </c>
    </row>
    <row r="2028" spans="1:9" x14ac:dyDescent="0.25">
      <c r="A2028" s="204" t="s">
        <v>2081</v>
      </c>
      <c r="B2028" s="9" t="str">
        <f t="shared" si="62"/>
        <v>68544000</v>
      </c>
      <c r="C2028" s="9" t="str">
        <f>VLOOKUP(B2028,COA!A:B,2,FALSE)</f>
        <v>Gross Receipts Tax</v>
      </c>
      <c r="D2028" s="338" t="str">
        <f t="shared" si="63"/>
        <v>C40813</v>
      </c>
      <c r="E2028" s="338" t="s">
        <v>6890</v>
      </c>
      <c r="F2028" s="338" t="s">
        <v>6898</v>
      </c>
      <c r="G2028" s="338" t="s">
        <v>6898</v>
      </c>
      <c r="H2028" s="204" t="s">
        <v>77</v>
      </c>
      <c r="I2028" s="204" t="s">
        <v>7544</v>
      </c>
    </row>
    <row r="2029" spans="1:9" x14ac:dyDescent="0.25">
      <c r="A2029" s="204" t="s">
        <v>2082</v>
      </c>
      <c r="B2029" s="9" t="str">
        <f t="shared" si="62"/>
        <v>68545000</v>
      </c>
      <c r="C2029" s="9" t="str">
        <f>VLOOKUP(B2029,COA!A:B,2,FALSE)</f>
        <v>Utility Reg Assessment</v>
      </c>
      <c r="D2029" s="338" t="str">
        <f t="shared" si="63"/>
        <v>C40810</v>
      </c>
      <c r="E2029" s="338" t="s">
        <v>6890</v>
      </c>
      <c r="F2029" s="338" t="s">
        <v>63</v>
      </c>
      <c r="G2029" s="338" t="s">
        <v>63</v>
      </c>
      <c r="H2029" s="204" t="s">
        <v>77</v>
      </c>
      <c r="I2029" s="204" t="s">
        <v>7545</v>
      </c>
    </row>
    <row r="2030" spans="1:9" x14ac:dyDescent="0.25">
      <c r="A2030" s="204" t="s">
        <v>2083</v>
      </c>
      <c r="B2030" s="9" t="str">
        <f t="shared" ref="B2030:B2093" si="64">RIGHT(A2030,8)</f>
        <v>69011000</v>
      </c>
      <c r="C2030" s="9" t="str">
        <f>VLOOKUP(B2030,COA!A:B,2,FALSE)</f>
        <v>FIT - Current</v>
      </c>
      <c r="D2030" s="338" t="str">
        <f t="shared" si="63"/>
        <v>C40910</v>
      </c>
      <c r="E2030" s="338" t="s">
        <v>38</v>
      </c>
      <c r="F2030" s="338" t="s">
        <v>6891</v>
      </c>
      <c r="G2030" s="338" t="s">
        <v>6891</v>
      </c>
      <c r="H2030" s="204" t="s">
        <v>77</v>
      </c>
      <c r="I2030" s="204" t="s">
        <v>7546</v>
      </c>
    </row>
    <row r="2031" spans="1:9" x14ac:dyDescent="0.25">
      <c r="A2031" s="204" t="s">
        <v>2084</v>
      </c>
      <c r="B2031" s="9" t="str">
        <f t="shared" si="64"/>
        <v>69011400</v>
      </c>
      <c r="C2031" s="9" t="str">
        <f>VLOOKUP(B2031,COA!A:B,2,FALSE)</f>
        <v>FIT - Current - Unitary Returns</v>
      </c>
      <c r="D2031" s="338" t="str">
        <f t="shared" si="63"/>
        <v>C40910</v>
      </c>
      <c r="E2031" s="338" t="s">
        <v>38</v>
      </c>
      <c r="F2031" s="338" t="s">
        <v>6891</v>
      </c>
      <c r="G2031" s="338" t="s">
        <v>6891</v>
      </c>
      <c r="H2031" s="204" t="s">
        <v>77</v>
      </c>
      <c r="I2031" s="204" t="s">
        <v>7546</v>
      </c>
    </row>
    <row r="2032" spans="1:9" x14ac:dyDescent="0.25">
      <c r="A2032" s="204" t="s">
        <v>2085</v>
      </c>
      <c r="B2032" s="9" t="str">
        <f t="shared" si="64"/>
        <v>69012000</v>
      </c>
      <c r="C2032" s="9" t="str">
        <f>VLOOKUP(B2032,COA!A:B,2,FALSE)</f>
        <v>FIT - Prior Year Adjustment</v>
      </c>
      <c r="D2032" s="338" t="str">
        <f t="shared" si="63"/>
        <v>C40910</v>
      </c>
      <c r="E2032" s="338" t="s">
        <v>38</v>
      </c>
      <c r="F2032" s="338" t="s">
        <v>6891</v>
      </c>
      <c r="G2032" s="338" t="s">
        <v>6891</v>
      </c>
      <c r="H2032" s="204" t="s">
        <v>77</v>
      </c>
      <c r="I2032" s="204" t="s">
        <v>7546</v>
      </c>
    </row>
    <row r="2033" spans="1:9" x14ac:dyDescent="0.25">
      <c r="A2033" s="204" t="s">
        <v>2086</v>
      </c>
      <c r="B2033" s="9" t="str">
        <f t="shared" si="64"/>
        <v>69012400</v>
      </c>
      <c r="C2033" s="9" t="str">
        <f>VLOOKUP(B2033,COA!A:B,2,FALSE)</f>
        <v>FIT - Prior Year - Unitary Returns</v>
      </c>
      <c r="D2033" s="338" t="str">
        <f t="shared" si="63"/>
        <v>C40910</v>
      </c>
      <c r="E2033" s="338" t="s">
        <v>38</v>
      </c>
      <c r="F2033" s="338" t="s">
        <v>6891</v>
      </c>
      <c r="G2033" s="338" t="s">
        <v>6891</v>
      </c>
      <c r="H2033" s="204" t="s">
        <v>77</v>
      </c>
      <c r="I2033" s="204" t="s">
        <v>7546</v>
      </c>
    </row>
    <row r="2034" spans="1:9" x14ac:dyDescent="0.25">
      <c r="A2034" s="204" t="s">
        <v>2087</v>
      </c>
      <c r="B2034" s="9" t="str">
        <f t="shared" si="64"/>
        <v>69012500</v>
      </c>
      <c r="C2034" s="9" t="str">
        <f>VLOOKUP(B2034,COA!A:B,2,FALSE)</f>
        <v>FIT - Acquisition Adjustment</v>
      </c>
      <c r="D2034" s="338" t="str">
        <f t="shared" si="63"/>
        <v>C40910</v>
      </c>
      <c r="E2034" s="338" t="s">
        <v>38</v>
      </c>
      <c r="F2034" s="338" t="s">
        <v>6891</v>
      </c>
      <c r="G2034" s="338" t="s">
        <v>6891</v>
      </c>
      <c r="H2034" s="204" t="s">
        <v>77</v>
      </c>
      <c r="I2034" s="204" t="s">
        <v>7546</v>
      </c>
    </row>
    <row r="2035" spans="1:9" x14ac:dyDescent="0.25">
      <c r="A2035" s="204" t="s">
        <v>2088</v>
      </c>
      <c r="B2035" s="9" t="str">
        <f t="shared" si="64"/>
        <v>69013100</v>
      </c>
      <c r="C2035" s="9" t="str">
        <f>VLOOKUP(B2035,COA!A:B,2,FALSE)</f>
        <v>FIT - Income Tax Interest</v>
      </c>
      <c r="D2035" s="338" t="str">
        <f t="shared" si="63"/>
        <v>C40910</v>
      </c>
      <c r="E2035" s="338" t="s">
        <v>38</v>
      </c>
      <c r="F2035" s="338" t="s">
        <v>6891</v>
      </c>
      <c r="G2035" s="338" t="s">
        <v>6891</v>
      </c>
      <c r="H2035" s="204" t="s">
        <v>77</v>
      </c>
      <c r="I2035" s="204" t="s">
        <v>7546</v>
      </c>
    </row>
    <row r="2036" spans="1:9" x14ac:dyDescent="0.25">
      <c r="A2036" s="204" t="s">
        <v>2089</v>
      </c>
      <c r="B2036" s="9" t="str">
        <f t="shared" si="64"/>
        <v>69013200</v>
      </c>
      <c r="C2036" s="9" t="str">
        <f>VLOOKUP(B2036,COA!A:B,2,FALSE)</f>
        <v>FIT - Income Tax Penalty</v>
      </c>
      <c r="D2036" s="338" t="str">
        <f t="shared" si="63"/>
        <v>C40910</v>
      </c>
      <c r="E2036" s="338" t="s">
        <v>38</v>
      </c>
      <c r="F2036" s="338" t="s">
        <v>6891</v>
      </c>
      <c r="G2036" s="338" t="s">
        <v>6891</v>
      </c>
      <c r="H2036" s="204" t="s">
        <v>77</v>
      </c>
      <c r="I2036" s="204" t="s">
        <v>7546</v>
      </c>
    </row>
    <row r="2037" spans="1:9" x14ac:dyDescent="0.25">
      <c r="A2037" s="204" t="s">
        <v>2090</v>
      </c>
      <c r="B2037" s="9" t="str">
        <f t="shared" si="64"/>
        <v>69021000</v>
      </c>
      <c r="C2037" s="9" t="str">
        <f>VLOOKUP(B2037,COA!A:B,2,FALSE)</f>
        <v>SIT - Current</v>
      </c>
      <c r="D2037" s="338" t="str">
        <f t="shared" si="63"/>
        <v>C40911</v>
      </c>
      <c r="E2037" s="338" t="s">
        <v>38</v>
      </c>
      <c r="F2037" s="338" t="s">
        <v>6892</v>
      </c>
      <c r="G2037" s="338" t="s">
        <v>6892</v>
      </c>
      <c r="H2037" s="204" t="s">
        <v>77</v>
      </c>
      <c r="I2037" s="204" t="s">
        <v>7547</v>
      </c>
    </row>
    <row r="2038" spans="1:9" x14ac:dyDescent="0.25">
      <c r="A2038" s="204" t="s">
        <v>2091</v>
      </c>
      <c r="B2038" s="9" t="str">
        <f t="shared" si="64"/>
        <v>69021400</v>
      </c>
      <c r="C2038" s="9" t="str">
        <f>VLOOKUP(B2038,COA!A:B,2,FALSE)</f>
        <v>SIT - Current - Unitary Returns</v>
      </c>
      <c r="D2038" s="338" t="str">
        <f t="shared" si="63"/>
        <v>C40911</v>
      </c>
      <c r="E2038" s="338" t="s">
        <v>38</v>
      </c>
      <c r="F2038" s="338" t="s">
        <v>6892</v>
      </c>
      <c r="G2038" s="338" t="s">
        <v>6892</v>
      </c>
      <c r="H2038" s="204" t="s">
        <v>77</v>
      </c>
      <c r="I2038" s="204" t="s">
        <v>7547</v>
      </c>
    </row>
    <row r="2039" spans="1:9" x14ac:dyDescent="0.25">
      <c r="A2039" s="204" t="s">
        <v>2092</v>
      </c>
      <c r="B2039" s="9" t="str">
        <f t="shared" si="64"/>
        <v>69022000</v>
      </c>
      <c r="C2039" s="9" t="str">
        <f>VLOOKUP(B2039,COA!A:B,2,FALSE)</f>
        <v>SIT - Prior Year Adjustment</v>
      </c>
      <c r="D2039" s="338" t="str">
        <f t="shared" si="63"/>
        <v>C40911</v>
      </c>
      <c r="E2039" s="338" t="s">
        <v>38</v>
      </c>
      <c r="F2039" s="338" t="s">
        <v>6892</v>
      </c>
      <c r="G2039" s="338" t="s">
        <v>6892</v>
      </c>
      <c r="H2039" s="204" t="s">
        <v>77</v>
      </c>
      <c r="I2039" s="204" t="s">
        <v>7547</v>
      </c>
    </row>
    <row r="2040" spans="1:9" x14ac:dyDescent="0.25">
      <c r="A2040" s="204" t="s">
        <v>2093</v>
      </c>
      <c r="B2040" s="9" t="str">
        <f t="shared" si="64"/>
        <v>69022400</v>
      </c>
      <c r="C2040" s="9" t="str">
        <f>VLOOKUP(B2040,COA!A:B,2,FALSE)</f>
        <v>SIT - Prior Year - Unitary Returns</v>
      </c>
      <c r="D2040" s="338" t="str">
        <f t="shared" si="63"/>
        <v>C40911</v>
      </c>
      <c r="E2040" s="338" t="s">
        <v>38</v>
      </c>
      <c r="F2040" s="338" t="s">
        <v>6892</v>
      </c>
      <c r="G2040" s="338" t="s">
        <v>6892</v>
      </c>
      <c r="H2040" s="204" t="s">
        <v>77</v>
      </c>
      <c r="I2040" s="204" t="s">
        <v>7547</v>
      </c>
    </row>
    <row r="2041" spans="1:9" x14ac:dyDescent="0.25">
      <c r="A2041" s="204" t="s">
        <v>2094</v>
      </c>
      <c r="B2041" s="9" t="str">
        <f t="shared" si="64"/>
        <v>69022500</v>
      </c>
      <c r="C2041" s="9" t="str">
        <f>VLOOKUP(B2041,COA!A:B,2,FALSE)</f>
        <v>SIT - Acquisition Adjustment</v>
      </c>
      <c r="D2041" s="338" t="str">
        <f t="shared" si="63"/>
        <v>C40911</v>
      </c>
      <c r="E2041" s="338" t="s">
        <v>38</v>
      </c>
      <c r="F2041" s="338" t="s">
        <v>6892</v>
      </c>
      <c r="G2041" s="338" t="s">
        <v>6892</v>
      </c>
      <c r="H2041" s="204" t="s">
        <v>77</v>
      </c>
      <c r="I2041" s="204" t="s">
        <v>7547</v>
      </c>
    </row>
    <row r="2042" spans="1:9" x14ac:dyDescent="0.25">
      <c r="A2042" s="204" t="s">
        <v>2095</v>
      </c>
      <c r="B2042" s="9" t="str">
        <f t="shared" si="64"/>
        <v>69023100</v>
      </c>
      <c r="C2042" s="9" t="str">
        <f>VLOOKUP(B2042,COA!A:B,2,FALSE)</f>
        <v>SIT - Income Tax Interest</v>
      </c>
      <c r="D2042" s="338" t="str">
        <f t="shared" si="63"/>
        <v>C40910</v>
      </c>
      <c r="E2042" s="338" t="s">
        <v>38</v>
      </c>
      <c r="F2042" s="338" t="s">
        <v>6892</v>
      </c>
      <c r="G2042" s="338" t="s">
        <v>6892</v>
      </c>
      <c r="H2042" s="204" t="s">
        <v>77</v>
      </c>
      <c r="I2042" s="204" t="s">
        <v>7546</v>
      </c>
    </row>
    <row r="2043" spans="1:9" x14ac:dyDescent="0.25">
      <c r="A2043" s="204" t="s">
        <v>2096</v>
      </c>
      <c r="B2043" s="9" t="str">
        <f t="shared" si="64"/>
        <v>69023200</v>
      </c>
      <c r="C2043" s="9" t="str">
        <f>VLOOKUP(B2043,COA!A:B,2,FALSE)</f>
        <v>SIT - Income Tax Penalty</v>
      </c>
      <c r="D2043" s="338" t="str">
        <f t="shared" si="63"/>
        <v>C40910</v>
      </c>
      <c r="E2043" s="338" t="s">
        <v>38</v>
      </c>
      <c r="F2043" s="338" t="s">
        <v>6892</v>
      </c>
      <c r="G2043" s="338" t="s">
        <v>6892</v>
      </c>
      <c r="H2043" s="204" t="s">
        <v>77</v>
      </c>
      <c r="I2043" s="204" t="s">
        <v>7546</v>
      </c>
    </row>
    <row r="2044" spans="1:9" x14ac:dyDescent="0.25">
      <c r="A2044" s="204" t="s">
        <v>2097</v>
      </c>
      <c r="B2044" s="9" t="str">
        <f t="shared" si="64"/>
        <v>69031000</v>
      </c>
      <c r="C2044" s="9" t="str">
        <f>VLOOKUP(B2044,COA!A:B,2,FALSE)</f>
        <v>FIT - Other Income &amp; Deductions Current Year</v>
      </c>
      <c r="D2044" s="338" t="str">
        <f t="shared" si="63"/>
        <v>C40920</v>
      </c>
      <c r="E2044" s="338" t="s">
        <v>38</v>
      </c>
      <c r="F2044" s="338" t="s">
        <v>6891</v>
      </c>
      <c r="G2044" s="338" t="s">
        <v>6893</v>
      </c>
      <c r="H2044" s="204" t="s">
        <v>77</v>
      </c>
      <c r="I2044" s="204" t="s">
        <v>7548</v>
      </c>
    </row>
    <row r="2045" spans="1:9" x14ac:dyDescent="0.25">
      <c r="A2045" s="204" t="s">
        <v>2098</v>
      </c>
      <c r="B2045" s="9" t="str">
        <f t="shared" si="64"/>
        <v>69031500</v>
      </c>
      <c r="C2045" s="9" t="str">
        <f>VLOOKUP(B2045,COA!A:B,2,FALSE)</f>
        <v>FIT - Reduction Acquisition Adjustment</v>
      </c>
      <c r="D2045" s="338" t="str">
        <f t="shared" si="63"/>
        <v>C40920</v>
      </c>
      <c r="E2045" s="338" t="s">
        <v>38</v>
      </c>
      <c r="F2045" s="338" t="s">
        <v>6891</v>
      </c>
      <c r="G2045" s="338" t="s">
        <v>6893</v>
      </c>
      <c r="H2045" s="204" t="s">
        <v>77</v>
      </c>
      <c r="I2045" s="204" t="s">
        <v>7548</v>
      </c>
    </row>
    <row r="2046" spans="1:9" x14ac:dyDescent="0.25">
      <c r="A2046" s="204" t="s">
        <v>2099</v>
      </c>
      <c r="B2046" s="9" t="str">
        <f t="shared" si="64"/>
        <v>69041000</v>
      </c>
      <c r="C2046" s="9" t="str">
        <f>VLOOKUP(B2046,COA!A:B,2,FALSE)</f>
        <v>SIT - Other Income &amp; Deductions Current Year</v>
      </c>
      <c r="D2046" s="338" t="str">
        <f t="shared" si="63"/>
        <v>C40920</v>
      </c>
      <c r="E2046" s="338" t="s">
        <v>38</v>
      </c>
      <c r="F2046" s="338" t="s">
        <v>6892</v>
      </c>
      <c r="G2046" s="338" t="s">
        <v>6894</v>
      </c>
      <c r="H2046" s="204" t="s">
        <v>77</v>
      </c>
      <c r="I2046" s="204" t="s">
        <v>7548</v>
      </c>
    </row>
    <row r="2047" spans="1:9" x14ac:dyDescent="0.25">
      <c r="A2047" s="204" t="s">
        <v>2100</v>
      </c>
      <c r="B2047" s="9" t="str">
        <f t="shared" si="64"/>
        <v>69041500</v>
      </c>
      <c r="C2047" s="9" t="str">
        <f>VLOOKUP(B2047,COA!A:B,2,FALSE)</f>
        <v>SIT - Reduction Acquisition Adjustment</v>
      </c>
      <c r="D2047" s="338" t="str">
        <f t="shared" si="63"/>
        <v>C40920</v>
      </c>
      <c r="E2047" s="338" t="s">
        <v>38</v>
      </c>
      <c r="F2047" s="338" t="s">
        <v>6892</v>
      </c>
      <c r="G2047" s="338" t="s">
        <v>6894</v>
      </c>
      <c r="H2047" s="204" t="s">
        <v>77</v>
      </c>
      <c r="I2047" s="204" t="s">
        <v>7548</v>
      </c>
    </row>
    <row r="2048" spans="1:9" x14ac:dyDescent="0.25">
      <c r="A2048" s="204" t="s">
        <v>2101</v>
      </c>
      <c r="B2048" s="9" t="str">
        <f t="shared" si="64"/>
        <v>69061000</v>
      </c>
      <c r="C2048" s="9" t="str">
        <f>VLOOKUP(B2048,COA!A:B,2,FALSE)</f>
        <v>Deferred FIT - Current Year</v>
      </c>
      <c r="D2048" s="338" t="str">
        <f t="shared" si="63"/>
        <v>C41010</v>
      </c>
      <c r="E2048" s="338" t="s">
        <v>38</v>
      </c>
      <c r="F2048" s="338" t="s">
        <v>6891</v>
      </c>
      <c r="G2048" s="338" t="s">
        <v>6895</v>
      </c>
      <c r="H2048" s="204" t="s">
        <v>77</v>
      </c>
      <c r="I2048" s="204" t="s">
        <v>7549</v>
      </c>
    </row>
    <row r="2049" spans="1:9" x14ac:dyDescent="0.25">
      <c r="A2049" s="204" t="s">
        <v>2102</v>
      </c>
      <c r="B2049" s="9" t="str">
        <f t="shared" si="64"/>
        <v>69061400</v>
      </c>
      <c r="C2049" s="9" t="str">
        <f>VLOOKUP(B2049,COA!A:B,2,FALSE)</f>
        <v>Deferred FIT - Current Year - Unitary Returns</v>
      </c>
      <c r="D2049" s="338" t="str">
        <f t="shared" si="63"/>
        <v>C41010</v>
      </c>
      <c r="E2049" s="338" t="s">
        <v>38</v>
      </c>
      <c r="F2049" s="338" t="s">
        <v>6891</v>
      </c>
      <c r="G2049" s="338" t="s">
        <v>6895</v>
      </c>
      <c r="H2049" s="204" t="s">
        <v>77</v>
      </c>
      <c r="I2049" s="204" t="s">
        <v>7549</v>
      </c>
    </row>
    <row r="2050" spans="1:9" x14ac:dyDescent="0.25">
      <c r="A2050" s="204" t="s">
        <v>2103</v>
      </c>
      <c r="B2050" s="9" t="str">
        <f t="shared" si="64"/>
        <v>69062000</v>
      </c>
      <c r="C2050" s="9" t="str">
        <f>VLOOKUP(B2050,COA!A:B,2,FALSE)</f>
        <v>Deferred FIT - Prior Year Adjustment</v>
      </c>
      <c r="D2050" s="338" t="str">
        <f t="shared" si="63"/>
        <v>C41010</v>
      </c>
      <c r="E2050" s="338" t="s">
        <v>38</v>
      </c>
      <c r="F2050" s="338" t="s">
        <v>6891</v>
      </c>
      <c r="G2050" s="338" t="s">
        <v>6895</v>
      </c>
      <c r="H2050" s="204" t="s">
        <v>77</v>
      </c>
      <c r="I2050" s="204" t="s">
        <v>7549</v>
      </c>
    </row>
    <row r="2051" spans="1:9" x14ac:dyDescent="0.25">
      <c r="A2051" s="204" t="s">
        <v>2104</v>
      </c>
      <c r="B2051" s="9" t="str">
        <f t="shared" si="64"/>
        <v>69062400</v>
      </c>
      <c r="C2051" s="9" t="str">
        <f>VLOOKUP(B2051,COA!A:B,2,FALSE)</f>
        <v>Deferred FIT - Prior Year - Unitary Returns</v>
      </c>
      <c r="D2051" s="338" t="str">
        <f t="shared" si="63"/>
        <v>C41010</v>
      </c>
      <c r="E2051" s="338" t="s">
        <v>38</v>
      </c>
      <c r="F2051" s="338" t="s">
        <v>6891</v>
      </c>
      <c r="G2051" s="338" t="s">
        <v>6895</v>
      </c>
      <c r="H2051" s="204" t="s">
        <v>77</v>
      </c>
      <c r="I2051" s="204" t="s">
        <v>7549</v>
      </c>
    </row>
    <row r="2052" spans="1:9" x14ac:dyDescent="0.25">
      <c r="A2052" s="204" t="s">
        <v>2105</v>
      </c>
      <c r="B2052" s="9" t="str">
        <f t="shared" si="64"/>
        <v>69063000</v>
      </c>
      <c r="C2052" s="9" t="str">
        <f>VLOOKUP(B2052,COA!A:B,2,FALSE)</f>
        <v>Deferred FIT - Reg Asset/Liability</v>
      </c>
      <c r="D2052" s="338" t="str">
        <f t="shared" si="63"/>
        <v>C41010</v>
      </c>
      <c r="E2052" s="338" t="s">
        <v>38</v>
      </c>
      <c r="F2052" s="338" t="s">
        <v>6891</v>
      </c>
      <c r="G2052" s="338" t="s">
        <v>6895</v>
      </c>
      <c r="H2052" s="204" t="s">
        <v>77</v>
      </c>
      <c r="I2052" s="204" t="s">
        <v>7549</v>
      </c>
    </row>
    <row r="2053" spans="1:9" x14ac:dyDescent="0.25">
      <c r="A2053" s="204" t="s">
        <v>2106</v>
      </c>
      <c r="B2053" s="9" t="str">
        <f t="shared" si="64"/>
        <v>69065000</v>
      </c>
      <c r="C2053" s="9" t="str">
        <f>VLOOKUP(B2053,COA!A:B,2,FALSE)</f>
        <v>Deferred FIT - Other</v>
      </c>
      <c r="D2053" s="338" t="str">
        <f t="shared" si="63"/>
        <v>C41010</v>
      </c>
      <c r="E2053" s="338" t="s">
        <v>38</v>
      </c>
      <c r="F2053" s="338" t="s">
        <v>6891</v>
      </c>
      <c r="G2053" s="338" t="s">
        <v>6895</v>
      </c>
      <c r="H2053" s="204" t="s">
        <v>77</v>
      </c>
      <c r="I2053" s="204" t="s">
        <v>7549</v>
      </c>
    </row>
    <row r="2054" spans="1:9" x14ac:dyDescent="0.25">
      <c r="A2054" s="204" t="s">
        <v>2107</v>
      </c>
      <c r="B2054" s="9" t="str">
        <f t="shared" si="64"/>
        <v>69071000</v>
      </c>
      <c r="C2054" s="9" t="str">
        <f>VLOOKUP(B2054,COA!A:B,2,FALSE)</f>
        <v>Deferred SIT - Current Year</v>
      </c>
      <c r="D2054" s="338" t="str">
        <f t="shared" si="63"/>
        <v>C41011</v>
      </c>
      <c r="E2054" s="338" t="s">
        <v>38</v>
      </c>
      <c r="F2054" s="338" t="s">
        <v>6892</v>
      </c>
      <c r="G2054" s="338" t="s">
        <v>6896</v>
      </c>
      <c r="H2054" s="204" t="s">
        <v>77</v>
      </c>
      <c r="I2054" s="204" t="s">
        <v>7550</v>
      </c>
    </row>
    <row r="2055" spans="1:9" x14ac:dyDescent="0.25">
      <c r="A2055" s="204" t="s">
        <v>2108</v>
      </c>
      <c r="B2055" s="9" t="str">
        <f t="shared" si="64"/>
        <v>69071400</v>
      </c>
      <c r="C2055" s="9" t="str">
        <f>VLOOKUP(B2055,COA!A:B,2,FALSE)</f>
        <v>Deferred SIT - Current Year - Unitary Returns</v>
      </c>
      <c r="D2055" s="338" t="str">
        <f t="shared" si="63"/>
        <v>C41011</v>
      </c>
      <c r="E2055" s="338" t="s">
        <v>38</v>
      </c>
      <c r="F2055" s="338" t="s">
        <v>6892</v>
      </c>
      <c r="G2055" s="338" t="s">
        <v>6896</v>
      </c>
      <c r="H2055" s="204" t="s">
        <v>77</v>
      </c>
      <c r="I2055" s="204" t="s">
        <v>7550</v>
      </c>
    </row>
    <row r="2056" spans="1:9" x14ac:dyDescent="0.25">
      <c r="A2056" s="204" t="s">
        <v>2109</v>
      </c>
      <c r="B2056" s="9" t="str">
        <f t="shared" si="64"/>
        <v>69072000</v>
      </c>
      <c r="C2056" s="9" t="str">
        <f>VLOOKUP(B2056,COA!A:B,2,FALSE)</f>
        <v>Deferred SIT - Prior Year Adjustment</v>
      </c>
      <c r="D2056" s="338" t="str">
        <f t="shared" si="63"/>
        <v>C41011</v>
      </c>
      <c r="E2056" s="338" t="s">
        <v>38</v>
      </c>
      <c r="F2056" s="338" t="s">
        <v>6892</v>
      </c>
      <c r="G2056" s="338" t="s">
        <v>6896</v>
      </c>
      <c r="H2056" s="204" t="s">
        <v>77</v>
      </c>
      <c r="I2056" s="204" t="s">
        <v>7550</v>
      </c>
    </row>
    <row r="2057" spans="1:9" x14ac:dyDescent="0.25">
      <c r="A2057" s="204" t="s">
        <v>2110</v>
      </c>
      <c r="B2057" s="9" t="str">
        <f t="shared" si="64"/>
        <v>69072400</v>
      </c>
      <c r="C2057" s="9" t="str">
        <f>VLOOKUP(B2057,COA!A:B,2,FALSE)</f>
        <v>Deferred SIT - Prior Year - Unitary Returns</v>
      </c>
      <c r="D2057" s="338" t="str">
        <f t="shared" si="63"/>
        <v>C41011</v>
      </c>
      <c r="E2057" s="338" t="s">
        <v>38</v>
      </c>
      <c r="F2057" s="338" t="s">
        <v>6892</v>
      </c>
      <c r="G2057" s="338" t="s">
        <v>6896</v>
      </c>
      <c r="H2057" s="204" t="s">
        <v>77</v>
      </c>
      <c r="I2057" s="204" t="s">
        <v>7550</v>
      </c>
    </row>
    <row r="2058" spans="1:9" x14ac:dyDescent="0.25">
      <c r="A2058" s="204" t="s">
        <v>2111</v>
      </c>
      <c r="B2058" s="9" t="str">
        <f t="shared" si="64"/>
        <v>69073000</v>
      </c>
      <c r="C2058" s="9" t="str">
        <f>VLOOKUP(B2058,COA!A:B,2,FALSE)</f>
        <v>Deferred SIT - Reg Asset/Liability</v>
      </c>
      <c r="D2058" s="338" t="str">
        <f t="shared" si="63"/>
        <v>C41011</v>
      </c>
      <c r="E2058" s="338" t="s">
        <v>38</v>
      </c>
      <c r="F2058" s="338" t="s">
        <v>6892</v>
      </c>
      <c r="G2058" s="338" t="s">
        <v>6896</v>
      </c>
      <c r="H2058" s="204" t="s">
        <v>77</v>
      </c>
      <c r="I2058" s="204" t="s">
        <v>7550</v>
      </c>
    </row>
    <row r="2059" spans="1:9" x14ac:dyDescent="0.25">
      <c r="A2059" s="204" t="s">
        <v>2112</v>
      </c>
      <c r="B2059" s="9" t="str">
        <f t="shared" si="64"/>
        <v>69073500</v>
      </c>
      <c r="C2059" s="9" t="str">
        <f>VLOOKUP(B2059,COA!A:B,2,FALSE)</f>
        <v>Deferred SIT - Other</v>
      </c>
      <c r="D2059" s="338" t="str">
        <f t="shared" ref="D2059:D2122" si="65">+I2059</f>
        <v>C41011</v>
      </c>
      <c r="E2059" s="338" t="s">
        <v>38</v>
      </c>
      <c r="F2059" s="338" t="s">
        <v>6892</v>
      </c>
      <c r="G2059" s="338" t="s">
        <v>6896</v>
      </c>
      <c r="H2059" s="204" t="s">
        <v>77</v>
      </c>
      <c r="I2059" s="204" t="s">
        <v>7550</v>
      </c>
    </row>
    <row r="2060" spans="1:9" x14ac:dyDescent="0.25">
      <c r="A2060" s="204" t="s">
        <v>2113</v>
      </c>
      <c r="B2060" s="9" t="str">
        <f t="shared" si="64"/>
        <v>69522000</v>
      </c>
      <c r="C2060" s="9" t="str">
        <f>VLOOKUP(B2060,COA!A:B,2,FALSE)</f>
        <v>Investment Tax Credits Restored - 3%</v>
      </c>
      <c r="D2060" s="338" t="str">
        <f t="shared" si="65"/>
        <v>C41211</v>
      </c>
      <c r="E2060" s="338" t="s">
        <v>38</v>
      </c>
      <c r="F2060" s="338" t="s">
        <v>8136</v>
      </c>
      <c r="G2060" s="338" t="s">
        <v>6897</v>
      </c>
      <c r="H2060" s="204" t="s">
        <v>77</v>
      </c>
      <c r="I2060" s="204" t="s">
        <v>7551</v>
      </c>
    </row>
    <row r="2061" spans="1:9" x14ac:dyDescent="0.25">
      <c r="A2061" s="204" t="s">
        <v>2114</v>
      </c>
      <c r="B2061" s="9" t="str">
        <f t="shared" si="64"/>
        <v>69523000</v>
      </c>
      <c r="C2061" s="9" t="str">
        <f>VLOOKUP(B2061,COA!A:B,2,FALSE)</f>
        <v>Investment Tax Credits Restored - 4%</v>
      </c>
      <c r="D2061" s="338" t="str">
        <f t="shared" si="65"/>
        <v>C41211</v>
      </c>
      <c r="E2061" s="338" t="s">
        <v>38</v>
      </c>
      <c r="F2061" s="338" t="s">
        <v>8136</v>
      </c>
      <c r="G2061" s="338" t="s">
        <v>6897</v>
      </c>
      <c r="H2061" s="204" t="s">
        <v>77</v>
      </c>
      <c r="I2061" s="204" t="s">
        <v>7551</v>
      </c>
    </row>
    <row r="2062" spans="1:9" x14ac:dyDescent="0.25">
      <c r="A2062" s="204" t="s">
        <v>2115</v>
      </c>
      <c r="B2062" s="9" t="str">
        <f t="shared" si="64"/>
        <v>69524000</v>
      </c>
      <c r="C2062" s="9" t="str">
        <f>VLOOKUP(B2062,COA!A:B,2,FALSE)</f>
        <v>Investment Tax Credits Restored - 10%</v>
      </c>
      <c r="D2062" s="338" t="str">
        <f t="shared" si="65"/>
        <v>C41211</v>
      </c>
      <c r="E2062" s="338" t="s">
        <v>38</v>
      </c>
      <c r="F2062" s="338" t="s">
        <v>8136</v>
      </c>
      <c r="G2062" s="338" t="s">
        <v>6897</v>
      </c>
      <c r="H2062" s="204" t="s">
        <v>77</v>
      </c>
      <c r="I2062" s="204" t="s">
        <v>7551</v>
      </c>
    </row>
    <row r="2063" spans="1:9" x14ac:dyDescent="0.25">
      <c r="A2063" s="204" t="s">
        <v>2116</v>
      </c>
      <c r="B2063" s="9" t="str">
        <f t="shared" si="64"/>
        <v>69525000</v>
      </c>
      <c r="C2063" s="9" t="str">
        <f>VLOOKUP(B2063,COA!A:B,2,FALSE)</f>
        <v>Investment Tax Credits Restored - 6%</v>
      </c>
      <c r="D2063" s="338" t="str">
        <f t="shared" si="65"/>
        <v>C41211</v>
      </c>
      <c r="E2063" s="338" t="s">
        <v>38</v>
      </c>
      <c r="F2063" s="338" t="s">
        <v>8136</v>
      </c>
      <c r="G2063" s="338" t="s">
        <v>6897</v>
      </c>
      <c r="H2063" s="204" t="s">
        <v>77</v>
      </c>
      <c r="I2063" s="204" t="s">
        <v>7551</v>
      </c>
    </row>
    <row r="2064" spans="1:9" x14ac:dyDescent="0.25">
      <c r="A2064" s="204" t="s">
        <v>2117</v>
      </c>
      <c r="B2064" s="9" t="str">
        <f t="shared" si="64"/>
        <v>69550000</v>
      </c>
      <c r="C2064" s="9" t="str">
        <f>VLOOKUP(B2064,COA!A:B,2,FALSE)</f>
        <v>Investment Tax Credits Restored SIT</v>
      </c>
      <c r="D2064" s="338" t="str">
        <f t="shared" si="65"/>
        <v>C41211</v>
      </c>
      <c r="E2064" s="338" t="s">
        <v>38</v>
      </c>
      <c r="F2064" s="338" t="s">
        <v>8136</v>
      </c>
      <c r="G2064" s="338" t="s">
        <v>6897</v>
      </c>
      <c r="H2064" s="204" t="s">
        <v>77</v>
      </c>
      <c r="I2064" s="204" t="s">
        <v>7551</v>
      </c>
    </row>
    <row r="2065" spans="1:9" x14ac:dyDescent="0.25">
      <c r="A2065" s="204" t="s">
        <v>2118</v>
      </c>
      <c r="B2065" s="9" t="str">
        <f t="shared" si="64"/>
        <v>70510000</v>
      </c>
      <c r="C2065" s="9" t="str">
        <f>VLOOKUP(B2065,COA!A:B,2,FALSE)</f>
        <v>AFUDC - Equity</v>
      </c>
      <c r="D2065" s="338" t="str">
        <f t="shared" si="65"/>
        <v>C420</v>
      </c>
      <c r="E2065" s="338" t="s">
        <v>6887</v>
      </c>
      <c r="G2065" s="338">
        <v>0</v>
      </c>
      <c r="H2065" s="204" t="s">
        <v>77</v>
      </c>
      <c r="I2065" s="204" t="s">
        <v>7552</v>
      </c>
    </row>
    <row r="2066" spans="1:9" x14ac:dyDescent="0.25">
      <c r="A2066" s="204" t="s">
        <v>2119</v>
      </c>
      <c r="B2066" s="9" t="str">
        <f t="shared" si="64"/>
        <v>71010000</v>
      </c>
      <c r="C2066" s="9" t="str">
        <f>VLOOKUP(B2066,COA!A:B,2,FALSE)</f>
        <v>Dividend Income</v>
      </c>
      <c r="D2066" s="338" t="str">
        <f t="shared" si="65"/>
        <v>C419</v>
      </c>
      <c r="E2066" s="338" t="s">
        <v>6887</v>
      </c>
      <c r="G2066" s="338">
        <v>0</v>
      </c>
      <c r="H2066" s="204" t="s">
        <v>77</v>
      </c>
      <c r="I2066" s="204" t="s">
        <v>7553</v>
      </c>
    </row>
    <row r="2067" spans="1:9" x14ac:dyDescent="0.25">
      <c r="A2067" s="204" t="s">
        <v>2120</v>
      </c>
      <c r="B2067" s="9" t="str">
        <f t="shared" si="64"/>
        <v>71015000</v>
      </c>
      <c r="C2067" s="9" t="str">
        <f>VLOOKUP(B2067,COA!A:B,2,FALSE)</f>
        <v>Dividend Income C/S Interco</v>
      </c>
      <c r="D2067" s="338" t="str">
        <f t="shared" si="65"/>
        <v>C419</v>
      </c>
      <c r="E2067" s="338" t="s">
        <v>6887</v>
      </c>
      <c r="G2067" s="338">
        <v>0</v>
      </c>
      <c r="H2067" s="204" t="s">
        <v>77</v>
      </c>
      <c r="I2067" s="204" t="s">
        <v>7553</v>
      </c>
    </row>
    <row r="2068" spans="1:9" x14ac:dyDescent="0.25">
      <c r="A2068" s="204" t="s">
        <v>2121</v>
      </c>
      <c r="B2068" s="9" t="str">
        <f t="shared" si="64"/>
        <v>71030000</v>
      </c>
      <c r="C2068" s="9" t="str">
        <f>VLOOKUP(B2068,COA!A:B,2,FALSE)</f>
        <v>Dividend Income P/S Interco</v>
      </c>
      <c r="D2068" s="338" t="str">
        <f t="shared" si="65"/>
        <v>C419</v>
      </c>
      <c r="E2068" s="338" t="s">
        <v>6887</v>
      </c>
      <c r="G2068" s="338">
        <v>0</v>
      </c>
      <c r="H2068" s="204" t="s">
        <v>77</v>
      </c>
      <c r="I2068" s="204" t="s">
        <v>7553</v>
      </c>
    </row>
    <row r="2069" spans="1:9" x14ac:dyDescent="0.25">
      <c r="A2069" s="204" t="s">
        <v>2122</v>
      </c>
      <c r="B2069" s="9" t="str">
        <f t="shared" si="64"/>
        <v>71511000</v>
      </c>
      <c r="C2069" s="9" t="str">
        <f>VLOOKUP(B2069,COA!A:B,2,FALSE)</f>
        <v>M&amp;J Revenues</v>
      </c>
      <c r="D2069" s="338" t="str">
        <f t="shared" si="65"/>
        <v>C415</v>
      </c>
      <c r="E2069" s="338" t="s">
        <v>6887</v>
      </c>
      <c r="G2069" s="338">
        <v>0</v>
      </c>
      <c r="H2069" s="204" t="s">
        <v>77</v>
      </c>
      <c r="I2069" s="204" t="s">
        <v>7554</v>
      </c>
    </row>
    <row r="2070" spans="1:9" x14ac:dyDescent="0.25">
      <c r="A2070" s="204" t="s">
        <v>2123</v>
      </c>
      <c r="B2070" s="9" t="str">
        <f t="shared" si="64"/>
        <v>71511500</v>
      </c>
      <c r="C2070" s="9" t="str">
        <f>VLOOKUP(B2070,COA!A:B,2,FALSE)</f>
        <v>M&amp;J Revenues Intercompany</v>
      </c>
      <c r="D2070" s="338" t="str">
        <f t="shared" si="65"/>
        <v>C415</v>
      </c>
      <c r="E2070" s="338" t="s">
        <v>6887</v>
      </c>
      <c r="G2070" s="338">
        <v>0</v>
      </c>
      <c r="H2070" s="204" t="s">
        <v>77</v>
      </c>
      <c r="I2070" s="204" t="s">
        <v>7554</v>
      </c>
    </row>
    <row r="2071" spans="1:9" x14ac:dyDescent="0.25">
      <c r="A2071" s="204" t="s">
        <v>2124</v>
      </c>
      <c r="B2071" s="9" t="str">
        <f t="shared" si="64"/>
        <v>71511510</v>
      </c>
      <c r="C2071" s="9" t="str">
        <f>VLOOKUP(B2071,COA!A:B,2,FALSE)</f>
        <v>M&amp;J Rev WLPP Billing Intercompany</v>
      </c>
      <c r="D2071" s="338" t="str">
        <f t="shared" si="65"/>
        <v>C415</v>
      </c>
      <c r="E2071" s="338" t="s">
        <v>6887</v>
      </c>
      <c r="G2071" s="338">
        <v>0</v>
      </c>
      <c r="H2071" s="204" t="s">
        <v>77</v>
      </c>
      <c r="I2071" s="204" t="s">
        <v>7554</v>
      </c>
    </row>
    <row r="2072" spans="1:9" x14ac:dyDescent="0.25">
      <c r="A2072" s="204" t="s">
        <v>2125</v>
      </c>
      <c r="B2072" s="9" t="str">
        <f t="shared" si="64"/>
        <v>71521000</v>
      </c>
      <c r="C2072" s="9" t="str">
        <f>VLOOKUP(B2072,COA!A:B,2,FALSE)</f>
        <v>M&amp;J Expenses</v>
      </c>
      <c r="D2072" s="338" t="str">
        <f t="shared" si="65"/>
        <v>C416</v>
      </c>
      <c r="E2072" s="338" t="s">
        <v>6887</v>
      </c>
      <c r="G2072" s="338">
        <v>0</v>
      </c>
      <c r="H2072" s="204" t="s">
        <v>77</v>
      </c>
      <c r="I2072" s="204" t="s">
        <v>7555</v>
      </c>
    </row>
    <row r="2073" spans="1:9" x14ac:dyDescent="0.25">
      <c r="A2073" s="204" t="s">
        <v>2126</v>
      </c>
      <c r="B2073" s="9" t="str">
        <f t="shared" si="64"/>
        <v>71521500</v>
      </c>
      <c r="C2073" s="9" t="str">
        <f>VLOOKUP(B2073,COA!A:B,2,FALSE)</f>
        <v>M&amp;J Expenses Intercompany</v>
      </c>
      <c r="D2073" s="338" t="str">
        <f t="shared" si="65"/>
        <v>C416</v>
      </c>
      <c r="E2073" s="338" t="s">
        <v>6887</v>
      </c>
      <c r="G2073" s="338">
        <v>0</v>
      </c>
      <c r="H2073" s="204" t="s">
        <v>77</v>
      </c>
      <c r="I2073" s="204" t="s">
        <v>7555</v>
      </c>
    </row>
    <row r="2074" spans="1:9" x14ac:dyDescent="0.25">
      <c r="A2074" s="204" t="s">
        <v>2127</v>
      </c>
      <c r="B2074" s="9" t="str">
        <f t="shared" si="64"/>
        <v>71611000</v>
      </c>
      <c r="C2074" s="9" t="str">
        <f>VLOOKUP(B2074,COA!A:B,2,FALSE)</f>
        <v>Misc Nonutility Revenue</v>
      </c>
      <c r="D2074" s="338" t="str">
        <f t="shared" si="65"/>
        <v>C421</v>
      </c>
      <c r="E2074" s="338" t="s">
        <v>6887</v>
      </c>
      <c r="G2074" s="338">
        <v>0</v>
      </c>
      <c r="H2074" s="204" t="s">
        <v>77</v>
      </c>
      <c r="I2074" s="204" t="s">
        <v>7556</v>
      </c>
    </row>
    <row r="2075" spans="1:9" x14ac:dyDescent="0.25">
      <c r="A2075" s="204" t="s">
        <v>2128</v>
      </c>
      <c r="B2075" s="9" t="str">
        <f t="shared" si="64"/>
        <v>71611100</v>
      </c>
      <c r="C2075" s="9" t="str">
        <f>VLOOKUP(B2075,COA!A:B,2,FALSE)</f>
        <v>Misc Nonutility Rev Rents</v>
      </c>
      <c r="D2075" s="338" t="str">
        <f t="shared" si="65"/>
        <v>C421</v>
      </c>
      <c r="E2075" s="338" t="s">
        <v>6887</v>
      </c>
      <c r="G2075" s="338">
        <v>0</v>
      </c>
      <c r="H2075" s="204" t="s">
        <v>77</v>
      </c>
      <c r="I2075" s="204" t="s">
        <v>7556</v>
      </c>
    </row>
    <row r="2076" spans="1:9" x14ac:dyDescent="0.25">
      <c r="A2076" s="204" t="s">
        <v>2129</v>
      </c>
      <c r="B2076" s="9" t="str">
        <f t="shared" si="64"/>
        <v>71611510</v>
      </c>
      <c r="C2076" s="9" t="str">
        <f>VLOOKUP(B2076,COA!A:B,2,FALSE)</f>
        <v>Misc Nonutility Revenue Intercompany</v>
      </c>
      <c r="D2076" s="338" t="str">
        <f t="shared" si="65"/>
        <v>C421</v>
      </c>
      <c r="E2076" s="338" t="s">
        <v>6887</v>
      </c>
      <c r="G2076" s="338">
        <v>0</v>
      </c>
      <c r="H2076" s="204" t="s">
        <v>77</v>
      </c>
      <c r="I2076" s="204" t="s">
        <v>7556</v>
      </c>
    </row>
    <row r="2077" spans="1:9" x14ac:dyDescent="0.25">
      <c r="A2077" s="204" t="s">
        <v>2130</v>
      </c>
      <c r="B2077" s="9" t="str">
        <f t="shared" si="64"/>
        <v>71611520</v>
      </c>
      <c r="C2077" s="9" t="str">
        <f>VLOOKUP(B2077,COA!A:B,2,FALSE)</f>
        <v>Misc Nonutility Rev Debt Exp Intercompany</v>
      </c>
      <c r="D2077" s="338" t="str">
        <f t="shared" si="65"/>
        <v>C421</v>
      </c>
      <c r="E2077" s="338" t="s">
        <v>6887</v>
      </c>
      <c r="G2077" s="338">
        <v>0</v>
      </c>
      <c r="H2077" s="204" t="s">
        <v>77</v>
      </c>
      <c r="I2077" s="204" t="s">
        <v>7556</v>
      </c>
    </row>
    <row r="2078" spans="1:9" x14ac:dyDescent="0.25">
      <c r="A2078" s="204" t="s">
        <v>2131</v>
      </c>
      <c r="B2078" s="9" t="str">
        <f t="shared" si="64"/>
        <v>71611530</v>
      </c>
      <c r="C2078" s="9" t="str">
        <f>VLOOKUP(B2078,COA!A:B,2,FALSE)</f>
        <v>Misc Nonutility Rev Credit Line Intercompany</v>
      </c>
      <c r="D2078" s="338" t="str">
        <f t="shared" si="65"/>
        <v>C421</v>
      </c>
      <c r="E2078" s="338" t="s">
        <v>6887</v>
      </c>
      <c r="G2078" s="338">
        <v>0</v>
      </c>
      <c r="H2078" s="204" t="s">
        <v>77</v>
      </c>
      <c r="I2078" s="204" t="s">
        <v>7556</v>
      </c>
    </row>
    <row r="2079" spans="1:9" x14ac:dyDescent="0.25">
      <c r="A2079" s="204" t="s">
        <v>2132</v>
      </c>
      <c r="B2079" s="9" t="str">
        <f t="shared" si="64"/>
        <v>71611540</v>
      </c>
      <c r="C2079" s="9" t="str">
        <f>VLOOKUP(B2079,COA!A:B,2,FALSE)</f>
        <v>Misc Nonutility Rev Rent Intercompany</v>
      </c>
      <c r="D2079" s="338" t="str">
        <f t="shared" si="65"/>
        <v>C421</v>
      </c>
      <c r="E2079" s="338" t="s">
        <v>6887</v>
      </c>
      <c r="G2079" s="338">
        <v>0</v>
      </c>
      <c r="H2079" s="204" t="s">
        <v>77</v>
      </c>
      <c r="I2079" s="204" t="s">
        <v>7556</v>
      </c>
    </row>
    <row r="2080" spans="1:9" x14ac:dyDescent="0.25">
      <c r="A2080" s="204" t="s">
        <v>2133</v>
      </c>
      <c r="B2080" s="9" t="str">
        <f t="shared" si="64"/>
        <v>71621000</v>
      </c>
      <c r="C2080" s="9" t="str">
        <f>VLOOKUP(B2080,COA!A:B,2,FALSE)</f>
        <v>Misc Nonutility Expense</v>
      </c>
      <c r="D2080" s="338" t="str">
        <f t="shared" si="65"/>
        <v>C426</v>
      </c>
      <c r="E2080" s="338" t="s">
        <v>6887</v>
      </c>
      <c r="G2080" s="338">
        <v>0</v>
      </c>
      <c r="H2080" s="204" t="s">
        <v>77</v>
      </c>
      <c r="I2080" s="204" t="s">
        <v>7522</v>
      </c>
    </row>
    <row r="2081" spans="1:9" x14ac:dyDescent="0.25">
      <c r="A2081" s="204" t="s">
        <v>2134</v>
      </c>
      <c r="B2081" s="9" t="str">
        <f t="shared" si="64"/>
        <v>71630000</v>
      </c>
      <c r="C2081" s="9" t="str">
        <f>VLOOKUP(B2081,COA!A:B,2,FALSE)</f>
        <v>Misc Nonutility JV Profit/Loss</v>
      </c>
      <c r="D2081" s="338" t="str">
        <f t="shared" si="65"/>
        <v>C426</v>
      </c>
      <c r="E2081" s="338" t="s">
        <v>6887</v>
      </c>
      <c r="G2081" s="338">
        <v>0</v>
      </c>
      <c r="H2081" s="204" t="s">
        <v>77</v>
      </c>
      <c r="I2081" s="204" t="s">
        <v>7522</v>
      </c>
    </row>
    <row r="2082" spans="1:9" x14ac:dyDescent="0.25">
      <c r="A2082" s="204" t="s">
        <v>2135</v>
      </c>
      <c r="B2082" s="9" t="str">
        <f t="shared" si="64"/>
        <v>71711000</v>
      </c>
      <c r="C2082" s="9" t="str">
        <f>VLOOKUP(B2082,COA!A:B,2,FALSE)</f>
        <v>Gains/Losses SERP Inv (Suppl Exec Retiremnt Plan)</v>
      </c>
      <c r="D2082" s="338" t="str">
        <f t="shared" si="65"/>
        <v>C426</v>
      </c>
      <c r="E2082" s="338" t="s">
        <v>6887</v>
      </c>
      <c r="G2082" s="338">
        <v>0</v>
      </c>
      <c r="H2082" s="204" t="s">
        <v>77</v>
      </c>
      <c r="I2082" s="204" t="s">
        <v>7522</v>
      </c>
    </row>
    <row r="2083" spans="1:9" x14ac:dyDescent="0.25">
      <c r="A2083" s="204" t="s">
        <v>2136</v>
      </c>
      <c r="B2083" s="9" t="str">
        <f t="shared" si="64"/>
        <v>71712000</v>
      </c>
      <c r="C2083" s="9" t="str">
        <f>VLOOKUP(B2083,COA!A:B,2,FALSE)</f>
        <v>Gains/Losses Other Non-Operating</v>
      </c>
      <c r="D2083" s="338" t="str">
        <f t="shared" si="65"/>
        <v>C426</v>
      </c>
      <c r="E2083" s="338" t="s">
        <v>6887</v>
      </c>
      <c r="G2083" s="338">
        <v>0</v>
      </c>
      <c r="H2083" s="204" t="s">
        <v>77</v>
      </c>
      <c r="I2083" s="204" t="s">
        <v>7522</v>
      </c>
    </row>
    <row r="2084" spans="1:9" x14ac:dyDescent="0.25">
      <c r="A2084" s="204" t="s">
        <v>2137</v>
      </c>
      <c r="B2084" s="9" t="str">
        <f t="shared" si="64"/>
        <v>71713000</v>
      </c>
      <c r="C2084" s="9" t="str">
        <f>VLOOKUP(B2084,COA!A:B,2,FALSE)</f>
        <v>Gains/Losses Deferred Comp Trust</v>
      </c>
      <c r="D2084" s="338" t="str">
        <f t="shared" si="65"/>
        <v>C426</v>
      </c>
      <c r="E2084" s="338" t="s">
        <v>6887</v>
      </c>
      <c r="G2084" s="338">
        <v>0</v>
      </c>
      <c r="H2084" s="204" t="s">
        <v>77</v>
      </c>
      <c r="I2084" s="204" t="s">
        <v>7522</v>
      </c>
    </row>
    <row r="2085" spans="1:9" x14ac:dyDescent="0.25">
      <c r="A2085" s="204" t="s">
        <v>2138</v>
      </c>
      <c r="B2085" s="9" t="str">
        <f t="shared" si="64"/>
        <v>71810000</v>
      </c>
      <c r="C2085" s="9" t="str">
        <f>VLOOKUP(B2085,COA!A:B,2,FALSE)</f>
        <v>Other Non-service Pension Benefit Cost</v>
      </c>
      <c r="D2085" s="338" t="str">
        <f t="shared" si="65"/>
        <v>C6048</v>
      </c>
      <c r="E2085" s="338" t="s">
        <v>6887</v>
      </c>
      <c r="F2085" s="338" t="s">
        <v>6866</v>
      </c>
      <c r="G2085" s="338">
        <v>0</v>
      </c>
      <c r="H2085" s="204" t="s">
        <v>77</v>
      </c>
      <c r="I2085" s="204" t="s">
        <v>7459</v>
      </c>
    </row>
    <row r="2086" spans="1:9" x14ac:dyDescent="0.25">
      <c r="A2086" s="204" t="s">
        <v>2139</v>
      </c>
      <c r="B2086" s="9" t="str">
        <f t="shared" si="64"/>
        <v>71820000</v>
      </c>
      <c r="C2086" s="9" t="str">
        <f>VLOOKUP(B2086,COA!A:B,2,FALSE)</f>
        <v>Other Non-service PBOP Benefit Cost</v>
      </c>
      <c r="D2086" s="338" t="str">
        <f t="shared" si="65"/>
        <v>C6048</v>
      </c>
      <c r="E2086" s="338" t="s">
        <v>6887</v>
      </c>
      <c r="F2086" s="338" t="s">
        <v>6866</v>
      </c>
      <c r="G2086" s="338">
        <v>0</v>
      </c>
      <c r="H2086" s="204" t="s">
        <v>77</v>
      </c>
      <c r="I2086" s="204" t="s">
        <v>7459</v>
      </c>
    </row>
    <row r="2087" spans="1:9" x14ac:dyDescent="0.25">
      <c r="A2087" s="204" t="s">
        <v>2140</v>
      </c>
      <c r="B2087" s="9" t="str">
        <f t="shared" si="64"/>
        <v>72801000</v>
      </c>
      <c r="C2087" s="9" t="str">
        <f>VLOOKUP(B2087,COA!A:B,2,FALSE)</f>
        <v>Adv Receipt Services Clearing</v>
      </c>
      <c r="D2087" s="338" t="str">
        <f t="shared" si="65"/>
        <v>C421</v>
      </c>
      <c r="E2087" s="338" t="s">
        <v>6887</v>
      </c>
      <c r="G2087" s="338">
        <v>0</v>
      </c>
      <c r="H2087" s="204" t="s">
        <v>77</v>
      </c>
      <c r="I2087" s="204" t="s">
        <v>7556</v>
      </c>
    </row>
    <row r="2088" spans="1:9" x14ac:dyDescent="0.25">
      <c r="A2088" s="204" t="s">
        <v>2141</v>
      </c>
      <c r="B2088" s="9" t="str">
        <f t="shared" si="64"/>
        <v>72801100</v>
      </c>
      <c r="C2088" s="9" t="str">
        <f>VLOOKUP(B2088,COA!A:B,2,FALSE)</f>
        <v>Adv Receipt Non-Services Clearing</v>
      </c>
      <c r="D2088" s="338" t="str">
        <f t="shared" si="65"/>
        <v>C421</v>
      </c>
      <c r="E2088" s="338" t="s">
        <v>6887</v>
      </c>
      <c r="G2088" s="338">
        <v>0</v>
      </c>
      <c r="H2088" s="204" t="s">
        <v>77</v>
      </c>
      <c r="I2088" s="204" t="s">
        <v>7556</v>
      </c>
    </row>
    <row r="2089" spans="1:9" x14ac:dyDescent="0.25">
      <c r="A2089" s="204" t="s">
        <v>2142</v>
      </c>
      <c r="B2089" s="9" t="str">
        <f t="shared" si="64"/>
        <v>72801200</v>
      </c>
      <c r="C2089" s="9" t="str">
        <f>VLOOKUP(B2089,COA!A:B,2,FALSE)</f>
        <v>Adv Refund Services Clearing</v>
      </c>
      <c r="D2089" s="338" t="str">
        <f t="shared" si="65"/>
        <v>C421</v>
      </c>
      <c r="E2089" s="338" t="s">
        <v>6887</v>
      </c>
      <c r="G2089" s="338">
        <v>0</v>
      </c>
      <c r="H2089" s="204" t="s">
        <v>77</v>
      </c>
      <c r="I2089" s="204" t="s">
        <v>7556</v>
      </c>
    </row>
    <row r="2090" spans="1:9" x14ac:dyDescent="0.25">
      <c r="A2090" s="204" t="s">
        <v>2143</v>
      </c>
      <c r="B2090" s="9" t="str">
        <f t="shared" si="64"/>
        <v>72801300</v>
      </c>
      <c r="C2090" s="9" t="str">
        <f>VLOOKUP(B2090,COA!A:B,2,FALSE)</f>
        <v>Adv Refund Non-Services Clearing</v>
      </c>
      <c r="D2090" s="338" t="str">
        <f t="shared" si="65"/>
        <v>C421</v>
      </c>
      <c r="E2090" s="338" t="s">
        <v>6887</v>
      </c>
      <c r="G2090" s="338">
        <v>0</v>
      </c>
      <c r="H2090" s="204" t="s">
        <v>77</v>
      </c>
      <c r="I2090" s="204" t="s">
        <v>7556</v>
      </c>
    </row>
    <row r="2091" spans="1:9" x14ac:dyDescent="0.25">
      <c r="A2091" s="204" t="s">
        <v>2144</v>
      </c>
      <c r="B2091" s="9" t="str">
        <f t="shared" si="64"/>
        <v>72802000</v>
      </c>
      <c r="C2091" s="9" t="str">
        <f>VLOOKUP(B2091,COA!A:B,2,FALSE)</f>
        <v>CIAC Receipt Services Clearing</v>
      </c>
      <c r="D2091" s="338" t="str">
        <f t="shared" si="65"/>
        <v>C421</v>
      </c>
      <c r="E2091" s="338" t="s">
        <v>6887</v>
      </c>
      <c r="G2091" s="338">
        <v>0</v>
      </c>
      <c r="H2091" s="204" t="s">
        <v>77</v>
      </c>
      <c r="I2091" s="204" t="s">
        <v>7556</v>
      </c>
    </row>
    <row r="2092" spans="1:9" x14ac:dyDescent="0.25">
      <c r="A2092" s="204" t="s">
        <v>2145</v>
      </c>
      <c r="B2092" s="9" t="str">
        <f t="shared" si="64"/>
        <v>72802100</v>
      </c>
      <c r="C2092" s="9" t="str">
        <f>VLOOKUP(B2092,COA!A:B,2,FALSE)</f>
        <v>CIAC Receipt Non-Services Clearing</v>
      </c>
      <c r="D2092" s="338" t="str">
        <f t="shared" si="65"/>
        <v>C421</v>
      </c>
      <c r="E2092" s="338" t="s">
        <v>6887</v>
      </c>
      <c r="G2092" s="338">
        <v>0</v>
      </c>
      <c r="H2092" s="204" t="s">
        <v>77</v>
      </c>
      <c r="I2092" s="204" t="s">
        <v>7556</v>
      </c>
    </row>
    <row r="2093" spans="1:9" x14ac:dyDescent="0.25">
      <c r="A2093" s="204" t="s">
        <v>2146</v>
      </c>
      <c r="B2093" s="9" t="str">
        <f t="shared" si="64"/>
        <v>72803000</v>
      </c>
      <c r="C2093" s="9" t="str">
        <f>VLOOKUP(B2093,COA!A:B,2,FALSE)</f>
        <v>Salvage/Scrap Receipt Clearing</v>
      </c>
      <c r="D2093" s="338" t="str">
        <f t="shared" si="65"/>
        <v>C421</v>
      </c>
      <c r="E2093" s="338" t="s">
        <v>6887</v>
      </c>
      <c r="G2093" s="338">
        <v>0</v>
      </c>
      <c r="H2093" s="204" t="s">
        <v>77</v>
      </c>
      <c r="I2093" s="204" t="s">
        <v>7556</v>
      </c>
    </row>
    <row r="2094" spans="1:9" x14ac:dyDescent="0.25">
      <c r="A2094" s="204" t="s">
        <v>2147</v>
      </c>
      <c r="B2094" s="9" t="str">
        <f t="shared" ref="B2094:B2155" si="66">RIGHT(A2094,8)</f>
        <v>72803100</v>
      </c>
      <c r="C2094" s="9" t="str">
        <f>VLOOKUP(B2094,COA!A:B,2,FALSE)</f>
        <v>Property Sale Receipt Clearing</v>
      </c>
      <c r="D2094" s="338" t="str">
        <f t="shared" si="65"/>
        <v>C421</v>
      </c>
      <c r="E2094" s="338" t="s">
        <v>6887</v>
      </c>
      <c r="G2094" s="338">
        <v>0</v>
      </c>
      <c r="H2094" s="204" t="s">
        <v>77</v>
      </c>
      <c r="I2094" s="204" t="s">
        <v>7556</v>
      </c>
    </row>
    <row r="2095" spans="1:9" x14ac:dyDescent="0.25">
      <c r="A2095" s="204" t="s">
        <v>2148</v>
      </c>
      <c r="B2095" s="9" t="str">
        <f t="shared" si="66"/>
        <v>75510000</v>
      </c>
      <c r="C2095" s="9" t="str">
        <f>VLOOKUP(B2095,COA!A:B,2,FALSE)</f>
        <v>Amortize UPAA</v>
      </c>
      <c r="D2095" s="338" t="str">
        <f t="shared" si="65"/>
        <v>C426</v>
      </c>
      <c r="E2095" s="338" t="s">
        <v>6887</v>
      </c>
      <c r="G2095" s="338">
        <v>0</v>
      </c>
      <c r="H2095" s="204" t="s">
        <v>77</v>
      </c>
      <c r="I2095" s="204" t="s">
        <v>7522</v>
      </c>
    </row>
    <row r="2096" spans="1:9" x14ac:dyDescent="0.25">
      <c r="A2096" s="204" t="s">
        <v>2149</v>
      </c>
      <c r="B2096" s="9" t="str">
        <f t="shared" si="66"/>
        <v>75520000</v>
      </c>
      <c r="C2096" s="9" t="str">
        <f>VLOOKUP(B2096,COA!A:B,2,FALSE)</f>
        <v>Amortize Preferred Stock Expense</v>
      </c>
      <c r="D2096" s="338" t="str">
        <f t="shared" si="65"/>
        <v>C426</v>
      </c>
      <c r="E2096" s="338" t="s">
        <v>6887</v>
      </c>
      <c r="G2096" s="338">
        <v>0</v>
      </c>
      <c r="H2096" s="204" t="s">
        <v>77</v>
      </c>
      <c r="I2096" s="204" t="s">
        <v>7522</v>
      </c>
    </row>
    <row r="2097" spans="1:9" x14ac:dyDescent="0.25">
      <c r="A2097" s="204" t="s">
        <v>2150</v>
      </c>
      <c r="B2097" s="9" t="str">
        <f t="shared" si="66"/>
        <v>75810000</v>
      </c>
      <c r="C2097" s="9" t="str">
        <f>VLOOKUP(B2097,COA!A:B,2,FALSE)</f>
        <v>Donations Deductible</v>
      </c>
      <c r="D2097" s="338" t="str">
        <f t="shared" si="65"/>
        <v>C426</v>
      </c>
      <c r="E2097" s="338" t="s">
        <v>6887</v>
      </c>
      <c r="G2097" s="338">
        <v>0</v>
      </c>
      <c r="H2097" s="204" t="s">
        <v>77</v>
      </c>
      <c r="I2097" s="204" t="s">
        <v>7522</v>
      </c>
    </row>
    <row r="2098" spans="1:9" x14ac:dyDescent="0.25">
      <c r="A2098" s="204" t="s">
        <v>2151</v>
      </c>
      <c r="B2098" s="9" t="str">
        <f t="shared" si="66"/>
        <v>75811000</v>
      </c>
      <c r="C2098" s="9" t="str">
        <f>VLOOKUP(B2098,COA!A:B,2,FALSE)</f>
        <v>Donations Deduct Customer Assist</v>
      </c>
      <c r="D2098" s="338" t="str">
        <f t="shared" si="65"/>
        <v>C426</v>
      </c>
      <c r="E2098" s="338" t="s">
        <v>6887</v>
      </c>
      <c r="G2098" s="338">
        <v>0</v>
      </c>
      <c r="H2098" s="204" t="s">
        <v>77</v>
      </c>
      <c r="I2098" s="204" t="s">
        <v>7522</v>
      </c>
    </row>
    <row r="2099" spans="1:9" x14ac:dyDescent="0.25">
      <c r="A2099" s="204" t="s">
        <v>2152</v>
      </c>
      <c r="B2099" s="9" t="str">
        <f t="shared" si="66"/>
        <v>75815000</v>
      </c>
      <c r="C2099" s="9" t="str">
        <f>VLOOKUP(B2099,COA!A:B,2,FALSE)</f>
        <v>Donations Non-deductible</v>
      </c>
      <c r="D2099" s="338" t="str">
        <f t="shared" si="65"/>
        <v>C426</v>
      </c>
      <c r="E2099" s="338" t="s">
        <v>6887</v>
      </c>
      <c r="G2099" s="338">
        <v>0</v>
      </c>
      <c r="H2099" s="204" t="s">
        <v>77</v>
      </c>
      <c r="I2099" s="204" t="s">
        <v>7522</v>
      </c>
    </row>
    <row r="2100" spans="1:9" x14ac:dyDescent="0.25">
      <c r="A2100" s="204" t="s">
        <v>2153</v>
      </c>
      <c r="B2100" s="9" t="str">
        <f t="shared" si="66"/>
        <v>75820000</v>
      </c>
      <c r="C2100" s="9" t="str">
        <f>VLOOKUP(B2100,COA!A:B,2,FALSE)</f>
        <v>Other Income Deductions</v>
      </c>
      <c r="D2100" s="338" t="str">
        <f t="shared" si="65"/>
        <v>C426</v>
      </c>
      <c r="E2100" s="338" t="s">
        <v>6887</v>
      </c>
      <c r="G2100" s="338">
        <v>0</v>
      </c>
      <c r="H2100" s="204" t="s">
        <v>77</v>
      </c>
      <c r="I2100" s="204" t="s">
        <v>7522</v>
      </c>
    </row>
    <row r="2101" spans="1:9" x14ac:dyDescent="0.25">
      <c r="A2101" s="204" t="s">
        <v>2154</v>
      </c>
      <c r="B2101" s="9" t="str">
        <f t="shared" si="66"/>
        <v>75840000</v>
      </c>
      <c r="C2101" s="9" t="str">
        <f>VLOOKUP(B2101,COA!A:B,2,FALSE)</f>
        <v>Lobbying Expenses</v>
      </c>
      <c r="D2101" s="338" t="str">
        <f t="shared" si="65"/>
        <v>C426</v>
      </c>
      <c r="E2101" s="338" t="s">
        <v>6887</v>
      </c>
      <c r="G2101" s="338">
        <v>0</v>
      </c>
      <c r="H2101" s="204" t="s">
        <v>77</v>
      </c>
      <c r="I2101" s="204" t="s">
        <v>7522</v>
      </c>
    </row>
    <row r="2102" spans="1:9" x14ac:dyDescent="0.25">
      <c r="A2102" s="204" t="s">
        <v>2155</v>
      </c>
      <c r="B2102" s="9" t="str">
        <f t="shared" si="66"/>
        <v>75841000</v>
      </c>
      <c r="C2102" s="9" t="str">
        <f>VLOOKUP(B2102,COA!A:B,2,FALSE)</f>
        <v>Political Contributiions</v>
      </c>
      <c r="D2102" s="338" t="str">
        <f t="shared" si="65"/>
        <v>C426</v>
      </c>
      <c r="E2102" s="338" t="s">
        <v>6887</v>
      </c>
      <c r="G2102" s="338">
        <v>0</v>
      </c>
      <c r="H2102" s="204" t="s">
        <v>77</v>
      </c>
      <c r="I2102" s="204" t="s">
        <v>7522</v>
      </c>
    </row>
    <row r="2103" spans="1:9" x14ac:dyDescent="0.25">
      <c r="A2103" s="204" t="s">
        <v>2156</v>
      </c>
      <c r="B2103" s="9" t="str">
        <f t="shared" si="66"/>
        <v>81010000</v>
      </c>
      <c r="C2103" s="9" t="str">
        <f>VLOOKUP(B2103,COA!A:B,2,FALSE)</f>
        <v>Interest Long Term Debt</v>
      </c>
      <c r="D2103" s="338" t="str">
        <f t="shared" si="65"/>
        <v>C4273</v>
      </c>
      <c r="E2103" s="338" t="s">
        <v>6887</v>
      </c>
      <c r="G2103" s="338">
        <v>0</v>
      </c>
      <c r="H2103" s="204" t="s">
        <v>77</v>
      </c>
      <c r="I2103" s="204" t="s">
        <v>7557</v>
      </c>
    </row>
    <row r="2104" spans="1:9" x14ac:dyDescent="0.25">
      <c r="A2104" s="204" t="s">
        <v>2157</v>
      </c>
      <c r="B2104" s="9" t="str">
        <f t="shared" si="66"/>
        <v>81015000</v>
      </c>
      <c r="C2104" s="9" t="str">
        <f>VLOOKUP(B2104,COA!A:B,2,FALSE)</f>
        <v>Interest Long Term Debt Intercompany</v>
      </c>
      <c r="D2104" s="338" t="str">
        <f t="shared" si="65"/>
        <v>C4273</v>
      </c>
      <c r="E2104" s="338" t="s">
        <v>6887</v>
      </c>
      <c r="G2104" s="338">
        <v>0</v>
      </c>
      <c r="H2104" s="204" t="s">
        <v>77</v>
      </c>
      <c r="I2104" s="204" t="s">
        <v>7557</v>
      </c>
    </row>
    <row r="2105" spans="1:9" x14ac:dyDescent="0.25">
      <c r="A2105" s="204" t="s">
        <v>2158</v>
      </c>
      <c r="B2105" s="9" t="str">
        <f t="shared" si="66"/>
        <v>81016000</v>
      </c>
      <c r="C2105" s="9" t="str">
        <f>VLOOKUP(B2105,COA!A:B,2,FALSE)</f>
        <v>Interest expense-LTD debt discount amort inside</v>
      </c>
      <c r="D2105" s="338" t="str">
        <f t="shared" si="65"/>
        <v>C4273</v>
      </c>
      <c r="E2105" s="338" t="s">
        <v>6887</v>
      </c>
      <c r="G2105" s="338">
        <v>0</v>
      </c>
      <c r="H2105" s="204" t="s">
        <v>77</v>
      </c>
      <c r="I2105" s="204" t="s">
        <v>7557</v>
      </c>
    </row>
    <row r="2106" spans="1:9" x14ac:dyDescent="0.25">
      <c r="A2106" s="204" t="s">
        <v>2159</v>
      </c>
      <c r="B2106" s="9" t="str">
        <f t="shared" si="66"/>
        <v>81017000</v>
      </c>
      <c r="C2106" s="9" t="str">
        <f>VLOOKUP(B2106,COA!A:B,2,FALSE)</f>
        <v>Early Debt Retirement Loss - External</v>
      </c>
      <c r="D2106" s="338" t="str">
        <f t="shared" si="65"/>
        <v>C4273</v>
      </c>
      <c r="E2106" s="338" t="s">
        <v>6887</v>
      </c>
      <c r="G2106" s="338">
        <v>0</v>
      </c>
      <c r="H2106" s="204" t="s">
        <v>77</v>
      </c>
      <c r="I2106" s="204" t="s">
        <v>7557</v>
      </c>
    </row>
    <row r="2107" spans="1:9" x14ac:dyDescent="0.25">
      <c r="A2107" s="204" t="s">
        <v>2160</v>
      </c>
      <c r="B2107" s="9" t="str">
        <f t="shared" si="66"/>
        <v>81017100</v>
      </c>
      <c r="C2107" s="9" t="str">
        <f>VLOOKUP(B2107,COA!A:B,2,FALSE)</f>
        <v>Early Debt Retirement Gain - Intercompany</v>
      </c>
      <c r="D2107" s="338" t="str">
        <f t="shared" si="65"/>
        <v>C4273</v>
      </c>
      <c r="E2107" s="338" t="s">
        <v>6887</v>
      </c>
      <c r="G2107" s="338">
        <v>0</v>
      </c>
      <c r="H2107" s="204" t="s">
        <v>77</v>
      </c>
      <c r="I2107" s="204" t="s">
        <v>7557</v>
      </c>
    </row>
    <row r="2108" spans="1:9" x14ac:dyDescent="0.25">
      <c r="A2108" s="204" t="s">
        <v>2161</v>
      </c>
      <c r="B2108" s="9" t="str">
        <f t="shared" si="66"/>
        <v>81017200</v>
      </c>
      <c r="C2108" s="9" t="str">
        <f>VLOOKUP(B2108,COA!A:B,2,FALSE)</f>
        <v>Early Debt Retirement Loss - Intercompany</v>
      </c>
      <c r="D2108" s="338" t="str">
        <f t="shared" si="65"/>
        <v>C4273</v>
      </c>
      <c r="E2108" s="338" t="s">
        <v>6887</v>
      </c>
      <c r="G2108" s="338">
        <v>0</v>
      </c>
      <c r="H2108" s="204" t="s">
        <v>77</v>
      </c>
      <c r="I2108" s="204" t="s">
        <v>7557</v>
      </c>
    </row>
    <row r="2109" spans="1:9" x14ac:dyDescent="0.25">
      <c r="A2109" s="204" t="s">
        <v>2162</v>
      </c>
      <c r="B2109" s="9" t="str">
        <f t="shared" si="66"/>
        <v>81020000</v>
      </c>
      <c r="C2109" s="9" t="str">
        <f>VLOOKUP(B2109,COA!A:B,2,FALSE)</f>
        <v>Dividends Declared P/S w/ Mand Redemptn Requiremts</v>
      </c>
      <c r="D2109" s="338" t="str">
        <f t="shared" si="65"/>
        <v>C437</v>
      </c>
      <c r="E2109" s="338" t="s">
        <v>6887</v>
      </c>
      <c r="G2109" s="338">
        <v>0</v>
      </c>
      <c r="H2109" s="204" t="s">
        <v>77</v>
      </c>
      <c r="I2109" s="204" t="s">
        <v>7558</v>
      </c>
    </row>
    <row r="2110" spans="1:9" x14ac:dyDescent="0.25">
      <c r="A2110" s="204" t="s">
        <v>2163</v>
      </c>
      <c r="B2110" s="9" t="str">
        <f t="shared" si="66"/>
        <v>81030000</v>
      </c>
      <c r="C2110" s="9" t="str">
        <f>VLOOKUP(B2110,COA!A:B,2,FALSE)</f>
        <v>Interest Capital Lease</v>
      </c>
      <c r="D2110" s="338" t="str">
        <f t="shared" si="65"/>
        <v>C4273</v>
      </c>
      <c r="E2110" s="338" t="s">
        <v>6887</v>
      </c>
      <c r="G2110" s="338">
        <v>0</v>
      </c>
      <c r="H2110" s="204" t="s">
        <v>77</v>
      </c>
      <c r="I2110" s="204" t="s">
        <v>7557</v>
      </c>
    </row>
    <row r="2111" spans="1:9" x14ac:dyDescent="0.25">
      <c r="A2111" s="204" t="s">
        <v>2164</v>
      </c>
      <c r="B2111" s="9" t="str">
        <f t="shared" si="66"/>
        <v>81035000</v>
      </c>
      <c r="C2111" s="9" t="str">
        <f>VLOOKUP(B2111,COA!A:B,2,FALSE)</f>
        <v>Interest Capital Lease Intercompany</v>
      </c>
      <c r="D2111" s="338" t="str">
        <f t="shared" si="65"/>
        <v>C4273</v>
      </c>
      <c r="E2111" s="338" t="s">
        <v>6887</v>
      </c>
      <c r="G2111" s="338">
        <v>0</v>
      </c>
      <c r="H2111" s="204" t="s">
        <v>77</v>
      </c>
      <c r="I2111" s="204" t="s">
        <v>7557</v>
      </c>
    </row>
    <row r="2112" spans="1:9" x14ac:dyDescent="0.25">
      <c r="A2112" s="204" t="s">
        <v>2165</v>
      </c>
      <c r="B2112" s="9" t="str">
        <f t="shared" si="66"/>
        <v>81050000</v>
      </c>
      <c r="C2112" s="9" t="str">
        <f>VLOOKUP(B2112,COA!A:B,2,FALSE)</f>
        <v>Interest LTD Gain/Loss Hedge SWAP</v>
      </c>
      <c r="D2112" s="338" t="str">
        <f t="shared" si="65"/>
        <v>C4273</v>
      </c>
      <c r="E2112" s="338" t="s">
        <v>6887</v>
      </c>
      <c r="G2112" s="338">
        <v>0</v>
      </c>
      <c r="H2112" s="204" t="s">
        <v>77</v>
      </c>
      <c r="I2112" s="204" t="s">
        <v>7557</v>
      </c>
    </row>
    <row r="2113" spans="1:9" x14ac:dyDescent="0.25">
      <c r="A2113" s="204" t="s">
        <v>2166</v>
      </c>
      <c r="B2113" s="9" t="str">
        <f t="shared" si="66"/>
        <v>81050100</v>
      </c>
      <c r="C2113" s="9" t="str">
        <f>VLOOKUP(B2113,COA!A:B,2,FALSE)</f>
        <v>Interest LTD Gain/Loss Hedge Debt</v>
      </c>
      <c r="D2113" s="338" t="str">
        <f t="shared" si="65"/>
        <v>C4273</v>
      </c>
      <c r="E2113" s="338" t="s">
        <v>6887</v>
      </c>
      <c r="G2113" s="338">
        <v>0</v>
      </c>
      <c r="H2113" s="204" t="s">
        <v>77</v>
      </c>
      <c r="I2113" s="204" t="s">
        <v>7557</v>
      </c>
    </row>
    <row r="2114" spans="1:9" x14ac:dyDescent="0.25">
      <c r="A2114" s="204" t="s">
        <v>2167</v>
      </c>
      <c r="B2114" s="9" t="str">
        <f t="shared" si="66"/>
        <v>81050300</v>
      </c>
      <c r="C2114" s="9" t="str">
        <f>VLOOKUP(B2114,COA!A:B,2,FALSE)</f>
        <v>Gain on Hedge</v>
      </c>
      <c r="D2114" s="338" t="str">
        <f t="shared" si="65"/>
        <v>C4273</v>
      </c>
      <c r="E2114" s="338" t="s">
        <v>6887</v>
      </c>
      <c r="G2114" s="338">
        <v>0</v>
      </c>
      <c r="H2114" s="204" t="s">
        <v>77</v>
      </c>
      <c r="I2114" s="204" t="s">
        <v>7557</v>
      </c>
    </row>
    <row r="2115" spans="1:9" x14ac:dyDescent="0.25">
      <c r="A2115" s="204" t="s">
        <v>2168</v>
      </c>
      <c r="B2115" s="9" t="str">
        <f t="shared" si="66"/>
        <v>81050305</v>
      </c>
      <c r="C2115" s="9" t="str">
        <f>VLOOKUP(B2115,COA!A:B,2,FALSE)</f>
        <v>Gain on Hedge Intercompany</v>
      </c>
      <c r="D2115" s="338" t="str">
        <f t="shared" si="65"/>
        <v>C4273</v>
      </c>
      <c r="E2115" s="338" t="s">
        <v>6887</v>
      </c>
      <c r="G2115" s="338">
        <v>0</v>
      </c>
      <c r="H2115" s="204" t="s">
        <v>77</v>
      </c>
      <c r="I2115" s="204" t="s">
        <v>7557</v>
      </c>
    </row>
    <row r="2116" spans="1:9" x14ac:dyDescent="0.25">
      <c r="A2116" s="204" t="s">
        <v>2169</v>
      </c>
      <c r="B2116" s="9" t="str">
        <f t="shared" si="66"/>
        <v>81050400</v>
      </c>
      <c r="C2116" s="9" t="str">
        <f>VLOOKUP(B2116,COA!A:B,2,FALSE)</f>
        <v>Loss on Hedge</v>
      </c>
      <c r="D2116" s="338" t="str">
        <f t="shared" si="65"/>
        <v>C4273</v>
      </c>
      <c r="E2116" s="338" t="s">
        <v>6887</v>
      </c>
      <c r="G2116" s="338">
        <v>0</v>
      </c>
      <c r="H2116" s="204" t="s">
        <v>77</v>
      </c>
      <c r="I2116" s="204" t="s">
        <v>7557</v>
      </c>
    </row>
    <row r="2117" spans="1:9" x14ac:dyDescent="0.25">
      <c r="A2117" s="204" t="s">
        <v>2170</v>
      </c>
      <c r="B2117" s="9" t="str">
        <f t="shared" si="66"/>
        <v>81050405</v>
      </c>
      <c r="C2117" s="9" t="str">
        <f>VLOOKUP(B2117,COA!A:B,2,FALSE)</f>
        <v>Loss on Hedge Intercompany</v>
      </c>
      <c r="D2117" s="338" t="str">
        <f t="shared" si="65"/>
        <v>C4273</v>
      </c>
      <c r="E2117" s="338" t="s">
        <v>6887</v>
      </c>
      <c r="G2117" s="338">
        <v>0</v>
      </c>
      <c r="H2117" s="204" t="s">
        <v>77</v>
      </c>
      <c r="I2117" s="204" t="s">
        <v>7557</v>
      </c>
    </row>
    <row r="2118" spans="1:9" x14ac:dyDescent="0.25">
      <c r="A2118" s="204" t="s">
        <v>2171</v>
      </c>
      <c r="B2118" s="9" t="str">
        <f t="shared" si="66"/>
        <v>81055200</v>
      </c>
      <c r="C2118" s="9" t="str">
        <f>VLOOKUP(B2118,COA!A:B,2,FALSE)</f>
        <v>Interest LTD Gain/Loss Hedge Intercompany</v>
      </c>
      <c r="D2118" s="338" t="str">
        <f t="shared" si="65"/>
        <v>C4273</v>
      </c>
      <c r="E2118" s="338" t="s">
        <v>6887</v>
      </c>
      <c r="G2118" s="338">
        <v>0</v>
      </c>
      <c r="H2118" s="204" t="s">
        <v>77</v>
      </c>
      <c r="I2118" s="204" t="s">
        <v>7557</v>
      </c>
    </row>
    <row r="2119" spans="1:9" x14ac:dyDescent="0.25">
      <c r="A2119" s="204" t="s">
        <v>2172</v>
      </c>
      <c r="B2119" s="9" t="str">
        <f t="shared" si="66"/>
        <v>81310000</v>
      </c>
      <c r="C2119" s="9" t="str">
        <f>VLOOKUP(B2119,COA!A:B,2,FALSE)</f>
        <v>Interest Short Term Debt</v>
      </c>
      <c r="D2119" s="338" t="str">
        <f t="shared" si="65"/>
        <v>C4272</v>
      </c>
      <c r="E2119" s="338" t="s">
        <v>6887</v>
      </c>
      <c r="G2119" s="338">
        <v>0</v>
      </c>
      <c r="H2119" s="204" t="s">
        <v>77</v>
      </c>
      <c r="I2119" s="204" t="s">
        <v>7559</v>
      </c>
    </row>
    <row r="2120" spans="1:9" x14ac:dyDescent="0.25">
      <c r="A2120" s="204" t="s">
        <v>2173</v>
      </c>
      <c r="B2120" s="9" t="str">
        <f t="shared" si="66"/>
        <v>81315000</v>
      </c>
      <c r="C2120" s="9" t="str">
        <f>VLOOKUP(B2120,COA!A:B,2,FALSE)</f>
        <v>Interest Short Term Debt Intercompany</v>
      </c>
      <c r="D2120" s="338" t="str">
        <f t="shared" si="65"/>
        <v>C4272</v>
      </c>
      <c r="E2120" s="338" t="s">
        <v>6887</v>
      </c>
      <c r="G2120" s="338">
        <v>0</v>
      </c>
      <c r="H2120" s="204" t="s">
        <v>77</v>
      </c>
      <c r="I2120" s="204" t="s">
        <v>7559</v>
      </c>
    </row>
    <row r="2121" spans="1:9" x14ac:dyDescent="0.25">
      <c r="A2121" s="204" t="s">
        <v>2174</v>
      </c>
      <c r="B2121" s="9" t="str">
        <f t="shared" si="66"/>
        <v>81315100</v>
      </c>
      <c r="C2121" s="9" t="str">
        <f>VLOOKUP(B2121,COA!A:B,2,FALSE)</f>
        <v>In-House Cash Center Interest Inc/Exp Clearing</v>
      </c>
      <c r="D2121" s="338" t="str">
        <f t="shared" si="65"/>
        <v>C4272</v>
      </c>
      <c r="E2121" s="338" t="s">
        <v>6887</v>
      </c>
      <c r="G2121" s="338">
        <v>0</v>
      </c>
      <c r="H2121" s="204" t="s">
        <v>77</v>
      </c>
      <c r="I2121" s="204" t="s">
        <v>7559</v>
      </c>
    </row>
    <row r="2122" spans="1:9" x14ac:dyDescent="0.25">
      <c r="A2122" s="204" t="s">
        <v>2175</v>
      </c>
      <c r="B2122" s="9" t="str">
        <f t="shared" si="66"/>
        <v>81500000</v>
      </c>
      <c r="C2122" s="9" t="str">
        <f>VLOOKUP(B2122,COA!A:B,2,FALSE)</f>
        <v>Interest Other</v>
      </c>
      <c r="D2122" s="338" t="str">
        <f t="shared" si="65"/>
        <v>C4275</v>
      </c>
      <c r="E2122" s="338" t="s">
        <v>6887</v>
      </c>
      <c r="G2122" s="338">
        <v>0</v>
      </c>
      <c r="H2122" s="204" t="s">
        <v>77</v>
      </c>
      <c r="I2122" s="204" t="s">
        <v>7560</v>
      </c>
    </row>
    <row r="2123" spans="1:9" x14ac:dyDescent="0.25">
      <c r="A2123" s="204" t="s">
        <v>2176</v>
      </c>
      <c r="B2123" s="9" t="str">
        <f t="shared" si="66"/>
        <v>81810000</v>
      </c>
      <c r="C2123" s="9" t="str">
        <f>VLOOKUP(B2123,COA!A:B,2,FALSE)</f>
        <v>Interest Income</v>
      </c>
      <c r="D2123" s="338" t="str">
        <f t="shared" ref="D2123:D2155" si="67">+I2123</f>
        <v>C419</v>
      </c>
      <c r="E2123" s="338" t="s">
        <v>6887</v>
      </c>
      <c r="G2123" s="338">
        <v>0</v>
      </c>
      <c r="H2123" s="204" t="s">
        <v>77</v>
      </c>
      <c r="I2123" s="204" t="s">
        <v>7553</v>
      </c>
    </row>
    <row r="2124" spans="1:9" x14ac:dyDescent="0.25">
      <c r="A2124" s="204" t="s">
        <v>2177</v>
      </c>
      <c r="B2124" s="9" t="str">
        <f t="shared" si="66"/>
        <v>81815000</v>
      </c>
      <c r="C2124" s="9" t="str">
        <f>VLOOKUP(B2124,COA!A:B,2,FALSE)</f>
        <v>Interest income-LTD intercompany</v>
      </c>
      <c r="D2124" s="338" t="str">
        <f t="shared" si="67"/>
        <v>C419</v>
      </c>
      <c r="E2124" s="338" t="s">
        <v>6887</v>
      </c>
      <c r="G2124" s="338">
        <v>0</v>
      </c>
      <c r="H2124" s="204" t="s">
        <v>77</v>
      </c>
      <c r="I2124" s="204" t="s">
        <v>7553</v>
      </c>
    </row>
    <row r="2125" spans="1:9" x14ac:dyDescent="0.25">
      <c r="A2125" s="204" t="s">
        <v>2178</v>
      </c>
      <c r="B2125" s="9" t="str">
        <f t="shared" si="66"/>
        <v>81815100</v>
      </c>
      <c r="C2125" s="9" t="str">
        <f>VLOOKUP(B2125,COA!A:B,2,FALSE)</f>
        <v>Interest Income - STD Intercompany</v>
      </c>
      <c r="D2125" s="338" t="str">
        <f t="shared" si="67"/>
        <v>C4273</v>
      </c>
      <c r="E2125" s="338" t="s">
        <v>6887</v>
      </c>
      <c r="G2125" s="338">
        <v>0</v>
      </c>
      <c r="H2125" s="204" t="s">
        <v>77</v>
      </c>
      <c r="I2125" s="204" t="s">
        <v>7557</v>
      </c>
    </row>
    <row r="2126" spans="1:9" x14ac:dyDescent="0.25">
      <c r="A2126" s="204" t="s">
        <v>2179</v>
      </c>
      <c r="B2126" s="9" t="str">
        <f t="shared" si="66"/>
        <v>81816000</v>
      </c>
      <c r="C2126" s="9" t="str">
        <f>VLOOKUP(B2126,COA!A:B,2,FALSE)</f>
        <v>Interest Income  - LTD debt discount amort</v>
      </c>
      <c r="D2126" s="338" t="str">
        <f t="shared" si="67"/>
        <v>C4273</v>
      </c>
      <c r="E2126" s="338" t="s">
        <v>6887</v>
      </c>
      <c r="G2126" s="338">
        <v>0</v>
      </c>
      <c r="H2126" s="204" t="s">
        <v>77</v>
      </c>
      <c r="I2126" s="204" t="s">
        <v>7557</v>
      </c>
    </row>
    <row r="2127" spans="1:9" x14ac:dyDescent="0.25">
      <c r="A2127" s="204" t="s">
        <v>2180</v>
      </c>
      <c r="B2127" s="9" t="str">
        <f t="shared" si="66"/>
        <v>81817000</v>
      </c>
      <c r="C2127" s="9" t="str">
        <f>VLOOKUP(B2127,COA!A:B,2,FALSE)</f>
        <v>AWTR Interest Income  - LTD debt premium amort</v>
      </c>
      <c r="D2127" s="338" t="str">
        <f t="shared" si="67"/>
        <v>C4273</v>
      </c>
      <c r="E2127" s="338" t="s">
        <v>6887</v>
      </c>
      <c r="G2127" s="338">
        <v>0</v>
      </c>
      <c r="H2127" s="204" t="s">
        <v>77</v>
      </c>
      <c r="I2127" s="204" t="s">
        <v>7557</v>
      </c>
    </row>
    <row r="2128" spans="1:9" x14ac:dyDescent="0.25">
      <c r="A2128" s="204" t="s">
        <v>2181</v>
      </c>
      <c r="B2128" s="9" t="str">
        <f t="shared" si="66"/>
        <v>82010000</v>
      </c>
      <c r="C2128" s="9" t="str">
        <f>VLOOKUP(B2128,COA!A:B,2,FALSE)</f>
        <v>Amortize Debt Disc &amp; Exp</v>
      </c>
      <c r="D2128" s="338" t="str">
        <f t="shared" si="67"/>
        <v>C428</v>
      </c>
      <c r="E2128" s="338" t="s">
        <v>6887</v>
      </c>
      <c r="G2128" s="338">
        <v>0</v>
      </c>
      <c r="H2128" s="204" t="s">
        <v>77</v>
      </c>
      <c r="I2128" s="204" t="s">
        <v>7561</v>
      </c>
    </row>
    <row r="2129" spans="1:9" x14ac:dyDescent="0.25">
      <c r="A2129" s="204" t="s">
        <v>2182</v>
      </c>
      <c r="B2129" s="9" t="str">
        <f t="shared" si="66"/>
        <v>82015000</v>
      </c>
      <c r="C2129" s="9" t="str">
        <f>VLOOKUP(B2129,COA!A:B,2,FALSE)</f>
        <v>Amortize Debt Disc &amp; Exp Intercompany</v>
      </c>
      <c r="D2129" s="338" t="str">
        <f t="shared" si="67"/>
        <v>C428</v>
      </c>
      <c r="E2129" s="338" t="s">
        <v>6887</v>
      </c>
      <c r="G2129" s="338">
        <v>0</v>
      </c>
      <c r="H2129" s="204" t="s">
        <v>77</v>
      </c>
      <c r="I2129" s="204" t="s">
        <v>7561</v>
      </c>
    </row>
    <row r="2130" spans="1:9" x14ac:dyDescent="0.25">
      <c r="A2130" s="204" t="s">
        <v>2183</v>
      </c>
      <c r="B2130" s="9" t="str">
        <f t="shared" si="66"/>
        <v>82016000</v>
      </c>
      <c r="C2130" s="9" t="str">
        <f>VLOOKUP(B2130,COA!A:B,2,FALSE)</f>
        <v>Amortize Debt Exp Inside-Revolving Credit Line</v>
      </c>
      <c r="D2130" s="338" t="str">
        <f t="shared" si="67"/>
        <v>C428</v>
      </c>
      <c r="E2130" s="338" t="s">
        <v>6887</v>
      </c>
      <c r="G2130" s="338">
        <v>0</v>
      </c>
      <c r="H2130" s="204" t="s">
        <v>77</v>
      </c>
      <c r="I2130" s="204" t="s">
        <v>7561</v>
      </c>
    </row>
    <row r="2131" spans="1:9" x14ac:dyDescent="0.25">
      <c r="A2131" s="204" t="s">
        <v>2184</v>
      </c>
      <c r="B2131" s="9" t="str">
        <f t="shared" si="66"/>
        <v>82020000</v>
      </c>
      <c r="C2131" s="9" t="str">
        <f>VLOOKUP(B2131,COA!A:B,2,FALSE)</f>
        <v>Amort P/S Exp w/ Mandatory Redemptn Requiremts</v>
      </c>
      <c r="D2131" s="338" t="str">
        <f t="shared" si="67"/>
        <v>C428</v>
      </c>
      <c r="E2131" s="338" t="s">
        <v>6887</v>
      </c>
      <c r="G2131" s="338">
        <v>0</v>
      </c>
      <c r="H2131" s="204" t="s">
        <v>77</v>
      </c>
      <c r="I2131" s="204" t="s">
        <v>7561</v>
      </c>
    </row>
    <row r="2132" spans="1:9" x14ac:dyDescent="0.25">
      <c r="A2132" s="204" t="s">
        <v>2185</v>
      </c>
      <c r="B2132" s="9" t="str">
        <f t="shared" si="66"/>
        <v>85000000</v>
      </c>
      <c r="C2132" s="9" t="str">
        <f>VLOOKUP(B2132,COA!A:B,2,FALSE)</f>
        <v>AFUDC Debt</v>
      </c>
      <c r="D2132" s="338" t="str">
        <f t="shared" si="67"/>
        <v>C420</v>
      </c>
      <c r="E2132" s="338" t="s">
        <v>6887</v>
      </c>
      <c r="G2132" s="338">
        <v>0</v>
      </c>
      <c r="H2132" s="204" t="s">
        <v>77</v>
      </c>
      <c r="I2132" s="204" t="s">
        <v>7552</v>
      </c>
    </row>
    <row r="2133" spans="1:9" x14ac:dyDescent="0.25">
      <c r="A2133" s="204" t="s">
        <v>2186</v>
      </c>
      <c r="B2133" s="9" t="str">
        <f t="shared" si="66"/>
        <v>86021000</v>
      </c>
      <c r="C2133" s="9" t="str">
        <f>VLOOKUP(B2133,COA!A:B,2,FALSE)</f>
        <v>Dividend Declared Common Stock</v>
      </c>
      <c r="D2133" s="338" t="str">
        <f t="shared" si="67"/>
        <v>C438</v>
      </c>
      <c r="E2133" s="338" t="s">
        <v>6887</v>
      </c>
      <c r="G2133" s="338">
        <v>0</v>
      </c>
      <c r="H2133" s="204" t="s">
        <v>77</v>
      </c>
      <c r="I2133" s="204" t="s">
        <v>7562</v>
      </c>
    </row>
    <row r="2134" spans="1:9" x14ac:dyDescent="0.25">
      <c r="A2134" s="204" t="s">
        <v>2187</v>
      </c>
      <c r="B2134" s="9" t="str">
        <f t="shared" si="66"/>
        <v>86021500</v>
      </c>
      <c r="C2134" s="9" t="str">
        <f>VLOOKUP(B2134,COA!A:B,2,FALSE)</f>
        <v>Dividend Declared Common Stock Intercompany</v>
      </c>
      <c r="D2134" s="338" t="str">
        <f t="shared" si="67"/>
        <v>C438</v>
      </c>
      <c r="E2134" s="338" t="s">
        <v>6887</v>
      </c>
      <c r="G2134" s="338">
        <v>0</v>
      </c>
      <c r="H2134" s="204" t="s">
        <v>77</v>
      </c>
      <c r="I2134" s="204" t="s">
        <v>7562</v>
      </c>
    </row>
    <row r="2135" spans="1:9" x14ac:dyDescent="0.25">
      <c r="A2135" s="204" t="s">
        <v>2188</v>
      </c>
      <c r="B2135" s="9" t="str">
        <f t="shared" si="66"/>
        <v>86031000</v>
      </c>
      <c r="C2135" s="9" t="str">
        <f>VLOOKUP(B2135,COA!A:B,2,FALSE)</f>
        <v>Dividend Declared Preferred Stock</v>
      </c>
      <c r="D2135" s="338" t="str">
        <f t="shared" si="67"/>
        <v>C437</v>
      </c>
      <c r="E2135" s="338" t="s">
        <v>6887</v>
      </c>
      <c r="G2135" s="338">
        <v>0</v>
      </c>
      <c r="H2135" s="204" t="s">
        <v>77</v>
      </c>
      <c r="I2135" s="204" t="s">
        <v>7558</v>
      </c>
    </row>
    <row r="2136" spans="1:9" x14ac:dyDescent="0.25">
      <c r="A2136" s="204" t="s">
        <v>2189</v>
      </c>
      <c r="B2136" s="9" t="str">
        <f t="shared" si="66"/>
        <v>86031500</v>
      </c>
      <c r="C2136" s="9" t="str">
        <f>VLOOKUP(B2136,COA!A:B,2,FALSE)</f>
        <v>Dividend Declared Preferred Stock Intercompany</v>
      </c>
      <c r="D2136" s="338" t="str">
        <f t="shared" si="67"/>
        <v>C437</v>
      </c>
      <c r="E2136" s="338" t="s">
        <v>6887</v>
      </c>
      <c r="G2136" s="338">
        <v>0</v>
      </c>
      <c r="H2136" s="204" t="s">
        <v>77</v>
      </c>
      <c r="I2136" s="204" t="s">
        <v>7558</v>
      </c>
    </row>
    <row r="2137" spans="1:9" x14ac:dyDescent="0.25">
      <c r="A2137" s="204" t="s">
        <v>2190</v>
      </c>
      <c r="B2137" s="9" t="str">
        <f t="shared" si="66"/>
        <v>88101000</v>
      </c>
      <c r="C2137" s="9" t="str">
        <f>VLOOKUP(B2137,COA!A:B,2,FALSE)</f>
        <v>Capital Movements - UP</v>
      </c>
      <c r="D2137" s="338" t="str">
        <f t="shared" si="67"/>
        <v>C6758</v>
      </c>
      <c r="E2137" s="338" t="s">
        <v>6887</v>
      </c>
      <c r="G2137" s="338">
        <v>0</v>
      </c>
      <c r="H2137" s="204" t="s">
        <v>77</v>
      </c>
      <c r="I2137" s="204" t="s">
        <v>7465</v>
      </c>
    </row>
    <row r="2138" spans="1:9" x14ac:dyDescent="0.25">
      <c r="A2138" s="204" t="s">
        <v>2191</v>
      </c>
      <c r="B2138" s="9" t="str">
        <f t="shared" si="66"/>
        <v>88106000</v>
      </c>
      <c r="C2138" s="9" t="str">
        <f>VLOOKUP(B2138,COA!A:B,2,FALSE)</f>
        <v>Capital Movements - CCNC</v>
      </c>
      <c r="D2138" s="338" t="str">
        <f t="shared" si="67"/>
        <v>C6758</v>
      </c>
      <c r="E2138" s="338" t="s">
        <v>6887</v>
      </c>
      <c r="G2138" s="338">
        <v>0</v>
      </c>
      <c r="H2138" s="204" t="s">
        <v>77</v>
      </c>
      <c r="I2138" s="204" t="s">
        <v>7465</v>
      </c>
    </row>
    <row r="2139" spans="1:9" x14ac:dyDescent="0.25">
      <c r="A2139" s="204" t="s">
        <v>2192</v>
      </c>
      <c r="B2139" s="9" t="str">
        <f t="shared" si="66"/>
        <v>88107000</v>
      </c>
      <c r="C2139" s="9" t="str">
        <f>VLOOKUP(B2139,COA!A:B,2,FALSE)</f>
        <v>Capital Movements - CWIP</v>
      </c>
      <c r="D2139" s="338" t="str">
        <f t="shared" si="67"/>
        <v>C6758</v>
      </c>
      <c r="E2139" s="338" t="s">
        <v>6887</v>
      </c>
      <c r="G2139" s="338">
        <v>0</v>
      </c>
      <c r="H2139" s="204" t="s">
        <v>77</v>
      </c>
      <c r="I2139" s="204" t="s">
        <v>7465</v>
      </c>
    </row>
    <row r="2140" spans="1:9" x14ac:dyDescent="0.25">
      <c r="A2140" s="204" t="s">
        <v>2193</v>
      </c>
      <c r="B2140" s="9" t="str">
        <f t="shared" si="66"/>
        <v>88108020</v>
      </c>
      <c r="C2140" s="9" t="str">
        <f>VLOOKUP(B2140,COA!A:B,2,FALSE)</f>
        <v>Capital Movements - UP - A/D - Salvage</v>
      </c>
      <c r="D2140" s="338" t="str">
        <f t="shared" si="67"/>
        <v>C6758</v>
      </c>
      <c r="E2140" s="338" t="s">
        <v>6887</v>
      </c>
      <c r="G2140" s="338">
        <v>0</v>
      </c>
      <c r="H2140" s="204" t="s">
        <v>77</v>
      </c>
      <c r="I2140" s="204" t="s">
        <v>7465</v>
      </c>
    </row>
    <row r="2141" spans="1:9" x14ac:dyDescent="0.25">
      <c r="A2141" s="204" t="s">
        <v>2194</v>
      </c>
      <c r="B2141" s="9" t="str">
        <f t="shared" si="66"/>
        <v>88121000</v>
      </c>
      <c r="C2141" s="9" t="str">
        <f>VLOOKUP(B2141,COA!A:B,2,FALSE)</f>
        <v>Capital Movements - Non-Utility Property</v>
      </c>
      <c r="D2141" s="338" t="str">
        <f t="shared" si="67"/>
        <v>C6758</v>
      </c>
      <c r="E2141" s="338" t="s">
        <v>6887</v>
      </c>
      <c r="G2141" s="338">
        <v>0</v>
      </c>
      <c r="H2141" s="204" t="s">
        <v>77</v>
      </c>
      <c r="I2141" s="204" t="s">
        <v>7465</v>
      </c>
    </row>
    <row r="2142" spans="1:9" x14ac:dyDescent="0.25">
      <c r="A2142" s="204" t="s">
        <v>2195</v>
      </c>
      <c r="B2142" s="9" t="str">
        <f t="shared" si="66"/>
        <v>88121800</v>
      </c>
      <c r="C2142" s="9" t="str">
        <f>VLOOKUP(B2142,COA!A:B,2,FALSE)</f>
        <v>Capital Movements - Non-Utility Property - CWIP</v>
      </c>
      <c r="D2142" s="338" t="str">
        <f t="shared" si="67"/>
        <v>C6758</v>
      </c>
      <c r="E2142" s="338" t="s">
        <v>6887</v>
      </c>
      <c r="G2142" s="338">
        <v>0</v>
      </c>
      <c r="H2142" s="204" t="s">
        <v>77</v>
      </c>
      <c r="I2142" s="204" t="s">
        <v>7465</v>
      </c>
    </row>
    <row r="2143" spans="1:9" x14ac:dyDescent="0.25">
      <c r="A2143" s="204" t="s">
        <v>2196</v>
      </c>
      <c r="B2143" s="9" t="str">
        <f t="shared" si="66"/>
        <v>88186800</v>
      </c>
      <c r="C2143" s="9" t="str">
        <f>VLOOKUP(B2143,COA!A:B,2,FALSE)</f>
        <v>Capital Movements - Reg Asset Cost of Removal</v>
      </c>
      <c r="D2143" s="338" t="str">
        <f t="shared" si="67"/>
        <v>C6758</v>
      </c>
      <c r="E2143" s="338" t="s">
        <v>6887</v>
      </c>
      <c r="G2143" s="338">
        <v>0</v>
      </c>
      <c r="H2143" s="204" t="s">
        <v>77</v>
      </c>
      <c r="I2143" s="204" t="s">
        <v>7465</v>
      </c>
    </row>
    <row r="2144" spans="1:9" x14ac:dyDescent="0.25">
      <c r="A2144" s="204" t="s">
        <v>2197</v>
      </c>
      <c r="B2144" s="9" t="str">
        <f t="shared" si="66"/>
        <v>88186801</v>
      </c>
      <c r="C2144" s="9" t="str">
        <f>VLOOKUP(B2144,COA!A:B,2,FALSE)</f>
        <v>Capital Movements - Reg Asset Cost of Removal RWIP</v>
      </c>
      <c r="D2144" s="338" t="str">
        <f t="shared" si="67"/>
        <v>C6758</v>
      </c>
      <c r="E2144" s="338" t="s">
        <v>6887</v>
      </c>
      <c r="G2144" s="338">
        <v>0</v>
      </c>
      <c r="H2144" s="204" t="s">
        <v>77</v>
      </c>
      <c r="I2144" s="204" t="s">
        <v>7465</v>
      </c>
    </row>
    <row r="2145" spans="1:9" x14ac:dyDescent="0.25">
      <c r="A2145" s="204" t="s">
        <v>2198</v>
      </c>
      <c r="B2145" s="9" t="str">
        <f t="shared" si="66"/>
        <v>88252100</v>
      </c>
      <c r="C2145" s="9" t="str">
        <f>VLOOKUP(B2145,COA!A:B,2,FALSE)</f>
        <v>Capital Movements - ADV NT</v>
      </c>
      <c r="D2145" s="338" t="str">
        <f t="shared" si="67"/>
        <v>C6758</v>
      </c>
      <c r="E2145" s="338" t="s">
        <v>6887</v>
      </c>
      <c r="G2145" s="338">
        <v>0</v>
      </c>
      <c r="H2145" s="204" t="s">
        <v>77</v>
      </c>
      <c r="I2145" s="204" t="s">
        <v>7465</v>
      </c>
    </row>
    <row r="2146" spans="1:9" x14ac:dyDescent="0.25">
      <c r="A2146" s="204" t="s">
        <v>2199</v>
      </c>
      <c r="B2146" s="9" t="str">
        <f t="shared" si="66"/>
        <v>88252170</v>
      </c>
      <c r="C2146" s="9" t="str">
        <f>VLOOKUP(B2146,COA!A:B,2,FALSE)</f>
        <v>Capital Movements - ADV NT WIP</v>
      </c>
      <c r="D2146" s="338" t="str">
        <f t="shared" si="67"/>
        <v>C6758</v>
      </c>
      <c r="E2146" s="338" t="s">
        <v>6887</v>
      </c>
      <c r="G2146" s="338">
        <v>0</v>
      </c>
      <c r="H2146" s="204" t="s">
        <v>77</v>
      </c>
      <c r="I2146" s="204" t="s">
        <v>7465</v>
      </c>
    </row>
    <row r="2147" spans="1:9" x14ac:dyDescent="0.25">
      <c r="A2147" s="204" t="s">
        <v>2200</v>
      </c>
      <c r="B2147" s="9" t="str">
        <f t="shared" si="66"/>
        <v>88252200</v>
      </c>
      <c r="C2147" s="9" t="str">
        <f>VLOOKUP(B2147,COA!A:B,2,FALSE)</f>
        <v>Capital Movements - ADV Tax</v>
      </c>
      <c r="D2147" s="338" t="str">
        <f t="shared" si="67"/>
        <v>C6758</v>
      </c>
      <c r="E2147" s="338" t="s">
        <v>6887</v>
      </c>
      <c r="G2147" s="338">
        <v>0</v>
      </c>
      <c r="H2147" s="204" t="s">
        <v>77</v>
      </c>
      <c r="I2147" s="204" t="s">
        <v>7465</v>
      </c>
    </row>
    <row r="2148" spans="1:9" x14ac:dyDescent="0.25">
      <c r="A2148" s="204" t="s">
        <v>2201</v>
      </c>
      <c r="B2148" s="9" t="str">
        <f t="shared" si="66"/>
        <v>88252270</v>
      </c>
      <c r="C2148" s="9" t="str">
        <f>VLOOKUP(B2148,COA!A:B,2,FALSE)</f>
        <v>Capital Movements - ADV Tax WIP</v>
      </c>
      <c r="D2148" s="338" t="str">
        <f t="shared" si="67"/>
        <v>C6758</v>
      </c>
      <c r="E2148" s="338" t="s">
        <v>6887</v>
      </c>
      <c r="G2148" s="338">
        <v>0</v>
      </c>
      <c r="H2148" s="204" t="s">
        <v>77</v>
      </c>
      <c r="I2148" s="204" t="s">
        <v>7465</v>
      </c>
    </row>
    <row r="2149" spans="1:9" x14ac:dyDescent="0.25">
      <c r="A2149" s="204" t="s">
        <v>2202</v>
      </c>
      <c r="B2149" s="9" t="str">
        <f t="shared" si="66"/>
        <v>88257000</v>
      </c>
      <c r="C2149" s="9" t="str">
        <f>VLOOKUP(B2149,COA!A:B,2,FALSE)</f>
        <v>Capital Movements - Cost of Removal</v>
      </c>
      <c r="D2149" s="338" t="str">
        <f t="shared" si="67"/>
        <v>C6758</v>
      </c>
      <c r="E2149" s="338" t="s">
        <v>6887</v>
      </c>
      <c r="G2149" s="338">
        <v>0</v>
      </c>
      <c r="H2149" s="204" t="s">
        <v>77</v>
      </c>
      <c r="I2149" s="204" t="s">
        <v>7465</v>
      </c>
    </row>
    <row r="2150" spans="1:9" x14ac:dyDescent="0.25">
      <c r="A2150" s="204" t="s">
        <v>2203</v>
      </c>
      <c r="B2150" s="9" t="str">
        <f t="shared" si="66"/>
        <v>88257100</v>
      </c>
      <c r="C2150" s="9" t="str">
        <f>VLOOKUP(B2150,COA!A:B,2,FALSE)</f>
        <v>Capital Movements - RWIP</v>
      </c>
      <c r="D2150" s="338" t="str">
        <f t="shared" si="67"/>
        <v>C6758</v>
      </c>
      <c r="E2150" s="338" t="s">
        <v>6887</v>
      </c>
      <c r="G2150" s="338">
        <v>0</v>
      </c>
      <c r="H2150" s="204" t="s">
        <v>77</v>
      </c>
      <c r="I2150" s="204" t="s">
        <v>7465</v>
      </c>
    </row>
    <row r="2151" spans="1:9" x14ac:dyDescent="0.25">
      <c r="A2151" s="204" t="s">
        <v>2204</v>
      </c>
      <c r="B2151" s="9" t="str">
        <f t="shared" si="66"/>
        <v>88271100</v>
      </c>
      <c r="C2151" s="9" t="str">
        <f>VLOOKUP(B2151,COA!A:B,2,FALSE)</f>
        <v>Capital Movements - CIAC NT</v>
      </c>
      <c r="D2151" s="338" t="str">
        <f t="shared" si="67"/>
        <v>C6758</v>
      </c>
      <c r="E2151" s="338" t="s">
        <v>6887</v>
      </c>
      <c r="G2151" s="338">
        <v>0</v>
      </c>
      <c r="H2151" s="204" t="s">
        <v>77</v>
      </c>
      <c r="I2151" s="204" t="s">
        <v>7465</v>
      </c>
    </row>
    <row r="2152" spans="1:9" x14ac:dyDescent="0.25">
      <c r="A2152" s="204" t="s">
        <v>2205</v>
      </c>
      <c r="B2152" s="9" t="str">
        <f t="shared" si="66"/>
        <v>88271170</v>
      </c>
      <c r="C2152" s="9" t="str">
        <f>VLOOKUP(B2152,COA!A:B,2,FALSE)</f>
        <v>Capital Movements - CIAC NT WIP</v>
      </c>
      <c r="D2152" s="338" t="str">
        <f t="shared" si="67"/>
        <v>C6758</v>
      </c>
      <c r="E2152" s="338" t="s">
        <v>6887</v>
      </c>
      <c r="G2152" s="338">
        <v>0</v>
      </c>
      <c r="H2152" s="204" t="s">
        <v>77</v>
      </c>
      <c r="I2152" s="204" t="s">
        <v>7465</v>
      </c>
    </row>
    <row r="2153" spans="1:9" x14ac:dyDescent="0.25">
      <c r="A2153" s="204" t="s">
        <v>2206</v>
      </c>
      <c r="B2153" s="9" t="str">
        <f t="shared" si="66"/>
        <v>88271200</v>
      </c>
      <c r="C2153" s="9" t="str">
        <f>VLOOKUP(B2153,COA!A:B,2,FALSE)</f>
        <v>Capital Movements - CIAC Tax</v>
      </c>
      <c r="D2153" s="338" t="str">
        <f t="shared" si="67"/>
        <v>C6758</v>
      </c>
      <c r="E2153" s="338" t="s">
        <v>6887</v>
      </c>
      <c r="G2153" s="338">
        <v>0</v>
      </c>
      <c r="H2153" s="204" t="s">
        <v>77</v>
      </c>
      <c r="I2153" s="204" t="s">
        <v>7465</v>
      </c>
    </row>
    <row r="2154" spans="1:9" x14ac:dyDescent="0.25">
      <c r="A2154" s="204" t="s">
        <v>2207</v>
      </c>
      <c r="B2154" s="9" t="str">
        <f t="shared" si="66"/>
        <v>88271270</v>
      </c>
      <c r="C2154" s="9" t="str">
        <f>VLOOKUP(B2154,COA!A:B,2,FALSE)</f>
        <v>Capital Movements - CIAC Tax WIP</v>
      </c>
      <c r="D2154" s="338" t="str">
        <f t="shared" si="67"/>
        <v>C6758</v>
      </c>
      <c r="E2154" s="338" t="s">
        <v>6887</v>
      </c>
      <c r="G2154" s="338">
        <v>0</v>
      </c>
      <c r="H2154" s="204" t="s">
        <v>77</v>
      </c>
      <c r="I2154" s="204" t="s">
        <v>7465</v>
      </c>
    </row>
    <row r="2155" spans="1:9" x14ac:dyDescent="0.25">
      <c r="A2155" s="204" t="s">
        <v>2208</v>
      </c>
      <c r="B2155" s="9" t="str">
        <f t="shared" si="66"/>
        <v>88900000</v>
      </c>
      <c r="C2155" s="9" t="str">
        <f>VLOOKUP(B2155,COA!A:B,2,FALSE)</f>
        <v>Capital Movements - Settlement</v>
      </c>
      <c r="D2155" s="338" t="str">
        <f t="shared" si="67"/>
        <v>C6758</v>
      </c>
      <c r="E2155" s="338" t="s">
        <v>6887</v>
      </c>
      <c r="G2155" s="338">
        <v>0</v>
      </c>
      <c r="H2155" s="204" t="s">
        <v>77</v>
      </c>
      <c r="I2155" s="204" t="s">
        <v>7465</v>
      </c>
    </row>
    <row r="2156" spans="1:9" x14ac:dyDescent="0.25">
      <c r="A2156" s="204"/>
      <c r="H2156" s="204"/>
      <c r="I2156" s="204" t="s">
        <v>1444</v>
      </c>
    </row>
  </sheetData>
  <autoFilter ref="A9:J2156" xr:uid="{00000000-0009-0000-0000-00000B000000}"/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</sheetPr>
  <dimension ref="A3:J2354"/>
  <sheetViews>
    <sheetView workbookViewId="0">
      <selection activeCell="B6" sqref="B6"/>
    </sheetView>
  </sheetViews>
  <sheetFormatPr defaultColWidth="8.7109375" defaultRowHeight="15" x14ac:dyDescent="0.25"/>
  <cols>
    <col min="1" max="1" bestFit="true" customWidth="true" style="9" width="13.0" collapsed="false"/>
    <col min="2" max="2" bestFit="true" customWidth="true" style="9" width="52.0" collapsed="false"/>
    <col min="3" max="16384" style="9" width="8.7109375" collapsed="false"/>
  </cols>
  <sheetData>
    <row r="3" spans="1:2" x14ac:dyDescent="0.25">
      <c r="A3" s="10" t="s">
        <v>6901</v>
      </c>
    </row>
    <row r="4" spans="1:2" x14ac:dyDescent="0.25">
      <c r="A4" s="10" t="s">
        <v>7186</v>
      </c>
    </row>
    <row r="6" spans="1:2" x14ac:dyDescent="0.25">
      <c r="A6" s="8" t="s">
        <v>1</v>
      </c>
      <c r="B6" s="8" t="s">
        <v>2212</v>
      </c>
    </row>
    <row r="7" spans="1:2" x14ac:dyDescent="0.25">
      <c r="A7" s="9" t="s">
        <v>6864</v>
      </c>
      <c r="B7" s="9" t="s">
        <v>2213</v>
      </c>
    </row>
    <row r="8" spans="1:2" x14ac:dyDescent="0.25">
      <c r="A8" s="9" t="s">
        <v>6863</v>
      </c>
      <c r="B8" s="9" t="s">
        <v>2214</v>
      </c>
    </row>
    <row r="9" spans="1:2" x14ac:dyDescent="0.25">
      <c r="A9" s="9" t="s">
        <v>6862</v>
      </c>
      <c r="B9" s="9" t="s">
        <v>2215</v>
      </c>
    </row>
    <row r="10" spans="1:2" x14ac:dyDescent="0.25">
      <c r="A10" s="9" t="s">
        <v>6861</v>
      </c>
      <c r="B10" s="9" t="s">
        <v>2216</v>
      </c>
    </row>
    <row r="11" spans="1:2" x14ac:dyDescent="0.25">
      <c r="A11" s="9" t="s">
        <v>6860</v>
      </c>
      <c r="B11" s="9" t="s">
        <v>2217</v>
      </c>
    </row>
    <row r="12" spans="1:2" x14ac:dyDescent="0.25">
      <c r="A12" s="9" t="s">
        <v>6859</v>
      </c>
      <c r="B12" s="9" t="s">
        <v>2218</v>
      </c>
    </row>
    <row r="13" spans="1:2" x14ac:dyDescent="0.25">
      <c r="A13" s="9" t="s">
        <v>6858</v>
      </c>
      <c r="B13" s="9" t="s">
        <v>2219</v>
      </c>
    </row>
    <row r="14" spans="1:2" x14ac:dyDescent="0.25">
      <c r="A14" s="9" t="s">
        <v>6857</v>
      </c>
      <c r="B14" s="9" t="s">
        <v>2220</v>
      </c>
    </row>
    <row r="15" spans="1:2" x14ac:dyDescent="0.25">
      <c r="A15" s="9" t="s">
        <v>6856</v>
      </c>
      <c r="B15" s="9" t="s">
        <v>2221</v>
      </c>
    </row>
    <row r="16" spans="1:2" x14ac:dyDescent="0.25">
      <c r="A16" s="9" t="s">
        <v>6855</v>
      </c>
      <c r="B16" s="9" t="s">
        <v>2222</v>
      </c>
    </row>
    <row r="17" spans="1:2" x14ac:dyDescent="0.25">
      <c r="A17" s="9" t="s">
        <v>6854</v>
      </c>
      <c r="B17" s="9" t="s">
        <v>2223</v>
      </c>
    </row>
    <row r="18" spans="1:2" x14ac:dyDescent="0.25">
      <c r="A18" s="9" t="s">
        <v>6853</v>
      </c>
      <c r="B18" s="9" t="s">
        <v>2224</v>
      </c>
    </row>
    <row r="19" spans="1:2" x14ac:dyDescent="0.25">
      <c r="A19" s="9" t="s">
        <v>6852</v>
      </c>
      <c r="B19" s="9" t="s">
        <v>2225</v>
      </c>
    </row>
    <row r="20" spans="1:2" x14ac:dyDescent="0.25">
      <c r="A20" s="9" t="s">
        <v>6851</v>
      </c>
      <c r="B20" s="9" t="s">
        <v>2226</v>
      </c>
    </row>
    <row r="21" spans="1:2" x14ac:dyDescent="0.25">
      <c r="A21" s="9" t="s">
        <v>6850</v>
      </c>
      <c r="B21" s="9" t="s">
        <v>2227</v>
      </c>
    </row>
    <row r="22" spans="1:2" x14ac:dyDescent="0.25">
      <c r="A22" s="9" t="s">
        <v>6849</v>
      </c>
      <c r="B22" s="9" t="s">
        <v>2228</v>
      </c>
    </row>
    <row r="23" spans="1:2" x14ac:dyDescent="0.25">
      <c r="A23" s="9" t="s">
        <v>6848</v>
      </c>
      <c r="B23" s="9" t="s">
        <v>2229</v>
      </c>
    </row>
    <row r="24" spans="1:2" x14ac:dyDescent="0.25">
      <c r="A24" s="9" t="s">
        <v>6847</v>
      </c>
      <c r="B24" s="9" t="s">
        <v>2230</v>
      </c>
    </row>
    <row r="25" spans="1:2" x14ac:dyDescent="0.25">
      <c r="A25" s="9" t="s">
        <v>6846</v>
      </c>
      <c r="B25" s="9" t="s">
        <v>2231</v>
      </c>
    </row>
    <row r="26" spans="1:2" x14ac:dyDescent="0.25">
      <c r="A26" s="9" t="s">
        <v>6845</v>
      </c>
      <c r="B26" s="9" t="s">
        <v>2232</v>
      </c>
    </row>
    <row r="27" spans="1:2" x14ac:dyDescent="0.25">
      <c r="A27" s="9" t="s">
        <v>6844</v>
      </c>
      <c r="B27" s="9" t="s">
        <v>2233</v>
      </c>
    </row>
    <row r="28" spans="1:2" x14ac:dyDescent="0.25">
      <c r="A28" s="9" t="s">
        <v>6843</v>
      </c>
      <c r="B28" s="9" t="s">
        <v>2234</v>
      </c>
    </row>
    <row r="29" spans="1:2" x14ac:dyDescent="0.25">
      <c r="A29" s="9" t="s">
        <v>6842</v>
      </c>
      <c r="B29" s="9" t="s">
        <v>2235</v>
      </c>
    </row>
    <row r="30" spans="1:2" x14ac:dyDescent="0.25">
      <c r="A30" s="9" t="s">
        <v>6841</v>
      </c>
      <c r="B30" s="9" t="s">
        <v>2236</v>
      </c>
    </row>
    <row r="31" spans="1:2" x14ac:dyDescent="0.25">
      <c r="A31" s="9" t="s">
        <v>6840</v>
      </c>
      <c r="B31" s="9" t="s">
        <v>2237</v>
      </c>
    </row>
    <row r="32" spans="1:2" x14ac:dyDescent="0.25">
      <c r="A32" s="9" t="s">
        <v>6839</v>
      </c>
      <c r="B32" s="9" t="s">
        <v>2238</v>
      </c>
    </row>
    <row r="33" spans="1:2" x14ac:dyDescent="0.25">
      <c r="A33" s="9" t="s">
        <v>6838</v>
      </c>
      <c r="B33" s="9" t="s">
        <v>2239</v>
      </c>
    </row>
    <row r="34" spans="1:2" x14ac:dyDescent="0.25">
      <c r="A34" s="9" t="s">
        <v>6837</v>
      </c>
      <c r="B34" s="9" t="s">
        <v>2240</v>
      </c>
    </row>
    <row r="35" spans="1:2" x14ac:dyDescent="0.25">
      <c r="A35" s="9" t="s">
        <v>6836</v>
      </c>
      <c r="B35" s="9" t="s">
        <v>2241</v>
      </c>
    </row>
    <row r="36" spans="1:2" x14ac:dyDescent="0.25">
      <c r="A36" s="9" t="s">
        <v>6835</v>
      </c>
      <c r="B36" s="9" t="s">
        <v>2242</v>
      </c>
    </row>
    <row r="37" spans="1:2" x14ac:dyDescent="0.25">
      <c r="A37" s="9" t="s">
        <v>6834</v>
      </c>
      <c r="B37" s="9" t="s">
        <v>2243</v>
      </c>
    </row>
    <row r="38" spans="1:2" x14ac:dyDescent="0.25">
      <c r="A38" s="9" t="s">
        <v>6833</v>
      </c>
      <c r="B38" s="9" t="s">
        <v>2244</v>
      </c>
    </row>
    <row r="39" spans="1:2" x14ac:dyDescent="0.25">
      <c r="A39" s="9" t="s">
        <v>6832</v>
      </c>
      <c r="B39" s="9" t="s">
        <v>2245</v>
      </c>
    </row>
    <row r="40" spans="1:2" x14ac:dyDescent="0.25">
      <c r="A40" s="9" t="s">
        <v>6831</v>
      </c>
      <c r="B40" s="9" t="s">
        <v>2246</v>
      </c>
    </row>
    <row r="41" spans="1:2" x14ac:dyDescent="0.25">
      <c r="A41" s="9" t="s">
        <v>6830</v>
      </c>
      <c r="B41" s="9" t="s">
        <v>2247</v>
      </c>
    </row>
    <row r="42" spans="1:2" x14ac:dyDescent="0.25">
      <c r="A42" s="9" t="s">
        <v>6829</v>
      </c>
      <c r="B42" s="9" t="s">
        <v>2248</v>
      </c>
    </row>
    <row r="43" spans="1:2" x14ac:dyDescent="0.25">
      <c r="A43" s="9" t="s">
        <v>6828</v>
      </c>
      <c r="B43" s="9" t="s">
        <v>2249</v>
      </c>
    </row>
    <row r="44" spans="1:2" x14ac:dyDescent="0.25">
      <c r="A44" s="9" t="s">
        <v>6827</v>
      </c>
      <c r="B44" s="9" t="s">
        <v>2250</v>
      </c>
    </row>
    <row r="45" spans="1:2" x14ac:dyDescent="0.25">
      <c r="A45" s="9" t="s">
        <v>6826</v>
      </c>
      <c r="B45" s="9" t="s">
        <v>2251</v>
      </c>
    </row>
    <row r="46" spans="1:2" x14ac:dyDescent="0.25">
      <c r="A46" s="9" t="s">
        <v>6825</v>
      </c>
      <c r="B46" s="9" t="s">
        <v>2252</v>
      </c>
    </row>
    <row r="47" spans="1:2" x14ac:dyDescent="0.25">
      <c r="A47" s="9" t="s">
        <v>6824</v>
      </c>
      <c r="B47" s="9" t="s">
        <v>2253</v>
      </c>
    </row>
    <row r="48" spans="1:2" x14ac:dyDescent="0.25">
      <c r="A48" s="9" t="s">
        <v>6823</v>
      </c>
      <c r="B48" s="9" t="s">
        <v>2254</v>
      </c>
    </row>
    <row r="49" spans="1:2" x14ac:dyDescent="0.25">
      <c r="A49" s="9" t="s">
        <v>6822</v>
      </c>
      <c r="B49" s="9" t="s">
        <v>2255</v>
      </c>
    </row>
    <row r="50" spans="1:2" x14ac:dyDescent="0.25">
      <c r="A50" s="9" t="s">
        <v>6821</v>
      </c>
      <c r="B50" s="9" t="s">
        <v>2256</v>
      </c>
    </row>
    <row r="51" spans="1:2" x14ac:dyDescent="0.25">
      <c r="A51" s="9" t="s">
        <v>6820</v>
      </c>
      <c r="B51" s="9" t="s">
        <v>2257</v>
      </c>
    </row>
    <row r="52" spans="1:2" x14ac:dyDescent="0.25">
      <c r="A52" s="9" t="s">
        <v>6819</v>
      </c>
      <c r="B52" s="9" t="s">
        <v>2258</v>
      </c>
    </row>
    <row r="53" spans="1:2" x14ac:dyDescent="0.25">
      <c r="A53" s="9" t="s">
        <v>6818</v>
      </c>
      <c r="B53" s="9" t="s">
        <v>2259</v>
      </c>
    </row>
    <row r="54" spans="1:2" x14ac:dyDescent="0.25">
      <c r="A54" s="9" t="s">
        <v>6817</v>
      </c>
      <c r="B54" s="9" t="s">
        <v>2260</v>
      </c>
    </row>
    <row r="55" spans="1:2" x14ac:dyDescent="0.25">
      <c r="A55" s="9" t="s">
        <v>6816</v>
      </c>
      <c r="B55" s="9" t="s">
        <v>2261</v>
      </c>
    </row>
    <row r="56" spans="1:2" x14ac:dyDescent="0.25">
      <c r="A56" s="9" t="s">
        <v>6815</v>
      </c>
      <c r="B56" s="9" t="s">
        <v>2262</v>
      </c>
    </row>
    <row r="57" spans="1:2" x14ac:dyDescent="0.25">
      <c r="A57" s="9" t="s">
        <v>6814</v>
      </c>
      <c r="B57" s="9" t="s">
        <v>2263</v>
      </c>
    </row>
    <row r="58" spans="1:2" x14ac:dyDescent="0.25">
      <c r="A58" s="9" t="s">
        <v>6813</v>
      </c>
      <c r="B58" s="9" t="s">
        <v>2264</v>
      </c>
    </row>
    <row r="59" spans="1:2" x14ac:dyDescent="0.25">
      <c r="A59" s="9" t="s">
        <v>6812</v>
      </c>
      <c r="B59" s="9" t="s">
        <v>2265</v>
      </c>
    </row>
    <row r="60" spans="1:2" x14ac:dyDescent="0.25">
      <c r="A60" s="9" t="s">
        <v>6811</v>
      </c>
      <c r="B60" s="9" t="s">
        <v>2266</v>
      </c>
    </row>
    <row r="61" spans="1:2" x14ac:dyDescent="0.25">
      <c r="A61" s="9" t="s">
        <v>6810</v>
      </c>
      <c r="B61" s="9" t="s">
        <v>2267</v>
      </c>
    </row>
    <row r="62" spans="1:2" x14ac:dyDescent="0.25">
      <c r="A62" s="9" t="s">
        <v>6809</v>
      </c>
      <c r="B62" s="9" t="s">
        <v>2268</v>
      </c>
    </row>
    <row r="63" spans="1:2" x14ac:dyDescent="0.25">
      <c r="A63" s="9" t="s">
        <v>6808</v>
      </c>
      <c r="B63" s="9" t="s">
        <v>2269</v>
      </c>
    </row>
    <row r="64" spans="1:2" x14ac:dyDescent="0.25">
      <c r="A64" s="9" t="s">
        <v>6807</v>
      </c>
      <c r="B64" s="9" t="s">
        <v>2270</v>
      </c>
    </row>
    <row r="65" spans="1:2" x14ac:dyDescent="0.25">
      <c r="A65" s="9" t="s">
        <v>6806</v>
      </c>
      <c r="B65" s="9" t="s">
        <v>2271</v>
      </c>
    </row>
    <row r="66" spans="1:2" x14ac:dyDescent="0.25">
      <c r="A66" s="9" t="s">
        <v>6805</v>
      </c>
      <c r="B66" s="9" t="s">
        <v>2272</v>
      </c>
    </row>
    <row r="67" spans="1:2" x14ac:dyDescent="0.25">
      <c r="A67" s="9" t="s">
        <v>6804</v>
      </c>
      <c r="B67" s="9" t="s">
        <v>2273</v>
      </c>
    </row>
    <row r="68" spans="1:2" x14ac:dyDescent="0.25">
      <c r="A68" s="9" t="s">
        <v>6803</v>
      </c>
      <c r="B68" s="9" t="s">
        <v>2274</v>
      </c>
    </row>
    <row r="69" spans="1:2" x14ac:dyDescent="0.25">
      <c r="A69" s="9" t="s">
        <v>6802</v>
      </c>
      <c r="B69" s="9" t="s">
        <v>2275</v>
      </c>
    </row>
    <row r="70" spans="1:2" x14ac:dyDescent="0.25">
      <c r="A70" s="9" t="s">
        <v>6801</v>
      </c>
      <c r="B70" s="9" t="s">
        <v>2276</v>
      </c>
    </row>
    <row r="71" spans="1:2" x14ac:dyDescent="0.25">
      <c r="A71" s="9" t="s">
        <v>6800</v>
      </c>
      <c r="B71" s="9" t="s">
        <v>2277</v>
      </c>
    </row>
    <row r="72" spans="1:2" x14ac:dyDescent="0.25">
      <c r="A72" s="9" t="s">
        <v>6799</v>
      </c>
      <c r="B72" s="9" t="s">
        <v>2278</v>
      </c>
    </row>
    <row r="73" spans="1:2" x14ac:dyDescent="0.25">
      <c r="A73" s="9" t="s">
        <v>6798</v>
      </c>
      <c r="B73" s="9" t="s">
        <v>2279</v>
      </c>
    </row>
    <row r="74" spans="1:2" x14ac:dyDescent="0.25">
      <c r="A74" s="9" t="s">
        <v>6797</v>
      </c>
      <c r="B74" s="9" t="s">
        <v>2280</v>
      </c>
    </row>
    <row r="75" spans="1:2" x14ac:dyDescent="0.25">
      <c r="A75" s="9" t="s">
        <v>6796</v>
      </c>
      <c r="B75" s="9" t="s">
        <v>2281</v>
      </c>
    </row>
    <row r="76" spans="1:2" x14ac:dyDescent="0.25">
      <c r="A76" s="9" t="s">
        <v>6795</v>
      </c>
      <c r="B76" s="9" t="s">
        <v>2282</v>
      </c>
    </row>
    <row r="77" spans="1:2" x14ac:dyDescent="0.25">
      <c r="A77" s="9" t="s">
        <v>6794</v>
      </c>
      <c r="B77" s="9" t="s">
        <v>2283</v>
      </c>
    </row>
    <row r="78" spans="1:2" x14ac:dyDescent="0.25">
      <c r="A78" s="9" t="s">
        <v>6793</v>
      </c>
      <c r="B78" s="9" t="s">
        <v>2284</v>
      </c>
    </row>
    <row r="79" spans="1:2" x14ac:dyDescent="0.25">
      <c r="A79" s="9" t="s">
        <v>6792</v>
      </c>
      <c r="B79" s="9" t="s">
        <v>2285</v>
      </c>
    </row>
    <row r="80" spans="1:2" x14ac:dyDescent="0.25">
      <c r="A80" s="9" t="s">
        <v>6791</v>
      </c>
      <c r="B80" s="9" t="s">
        <v>2286</v>
      </c>
    </row>
    <row r="81" spans="1:2" x14ac:dyDescent="0.25">
      <c r="A81" s="9" t="s">
        <v>6790</v>
      </c>
      <c r="B81" s="9" t="s">
        <v>2287</v>
      </c>
    </row>
    <row r="82" spans="1:2" x14ac:dyDescent="0.25">
      <c r="A82" s="9" t="s">
        <v>6789</v>
      </c>
      <c r="B82" s="9" t="s">
        <v>2288</v>
      </c>
    </row>
    <row r="83" spans="1:2" x14ac:dyDescent="0.25">
      <c r="A83" s="9" t="s">
        <v>6788</v>
      </c>
      <c r="B83" s="9" t="s">
        <v>2289</v>
      </c>
    </row>
    <row r="84" spans="1:2" x14ac:dyDescent="0.25">
      <c r="A84" s="9" t="s">
        <v>6787</v>
      </c>
      <c r="B84" s="9" t="s">
        <v>2290</v>
      </c>
    </row>
    <row r="85" spans="1:2" x14ac:dyDescent="0.25">
      <c r="A85" s="9" t="s">
        <v>6786</v>
      </c>
      <c r="B85" s="9" t="s">
        <v>2291</v>
      </c>
    </row>
    <row r="86" spans="1:2" x14ac:dyDescent="0.25">
      <c r="A86" s="9" t="s">
        <v>6785</v>
      </c>
      <c r="B86" s="9" t="s">
        <v>2292</v>
      </c>
    </row>
    <row r="87" spans="1:2" x14ac:dyDescent="0.25">
      <c r="A87" s="9" t="s">
        <v>6784</v>
      </c>
      <c r="B87" s="9" t="s">
        <v>2293</v>
      </c>
    </row>
    <row r="88" spans="1:2" x14ac:dyDescent="0.25">
      <c r="A88" s="9" t="s">
        <v>6783</v>
      </c>
      <c r="B88" s="9" t="s">
        <v>2294</v>
      </c>
    </row>
    <row r="89" spans="1:2" x14ac:dyDescent="0.25">
      <c r="A89" s="9" t="s">
        <v>6782</v>
      </c>
      <c r="B89" s="9" t="s">
        <v>2295</v>
      </c>
    </row>
    <row r="90" spans="1:2" x14ac:dyDescent="0.25">
      <c r="A90" s="9" t="s">
        <v>6781</v>
      </c>
      <c r="B90" s="9" t="s">
        <v>2296</v>
      </c>
    </row>
    <row r="91" spans="1:2" x14ac:dyDescent="0.25">
      <c r="A91" s="9" t="s">
        <v>6780</v>
      </c>
      <c r="B91" s="9" t="s">
        <v>2297</v>
      </c>
    </row>
    <row r="92" spans="1:2" x14ac:dyDescent="0.25">
      <c r="A92" s="9" t="s">
        <v>6779</v>
      </c>
      <c r="B92" s="9" t="s">
        <v>2298</v>
      </c>
    </row>
    <row r="93" spans="1:2" x14ac:dyDescent="0.25">
      <c r="A93" s="9" t="s">
        <v>6778</v>
      </c>
      <c r="B93" s="9" t="s">
        <v>2299</v>
      </c>
    </row>
    <row r="94" spans="1:2" x14ac:dyDescent="0.25">
      <c r="A94" s="9" t="s">
        <v>6777</v>
      </c>
      <c r="B94" s="9" t="s">
        <v>2300</v>
      </c>
    </row>
    <row r="95" spans="1:2" x14ac:dyDescent="0.25">
      <c r="A95" s="9" t="s">
        <v>6776</v>
      </c>
      <c r="B95" s="9" t="s">
        <v>2301</v>
      </c>
    </row>
    <row r="96" spans="1:2" x14ac:dyDescent="0.25">
      <c r="A96" s="9" t="s">
        <v>6775</v>
      </c>
      <c r="B96" s="9" t="s">
        <v>2302</v>
      </c>
    </row>
    <row r="97" spans="1:10" x14ac:dyDescent="0.25">
      <c r="A97" s="9" t="s">
        <v>6774</v>
      </c>
      <c r="B97" s="9" t="s">
        <v>2303</v>
      </c>
    </row>
    <row r="98" spans="1:10" x14ac:dyDescent="0.25">
      <c r="A98" s="9" t="s">
        <v>6773</v>
      </c>
      <c r="B98" s="9" t="s">
        <v>2304</v>
      </c>
    </row>
    <row r="99" spans="1:10" x14ac:dyDescent="0.25">
      <c r="A99" s="9" t="s">
        <v>6772</v>
      </c>
      <c r="B99" s="9" t="s">
        <v>2305</v>
      </c>
    </row>
    <row r="100" spans="1:10" x14ac:dyDescent="0.25">
      <c r="A100" s="9" t="s">
        <v>6771</v>
      </c>
      <c r="B100" s="9" t="s">
        <v>2306</v>
      </c>
    </row>
    <row r="101" spans="1:10" x14ac:dyDescent="0.25">
      <c r="A101" s="9" t="s">
        <v>6770</v>
      </c>
      <c r="B101" s="9" t="s">
        <v>2307</v>
      </c>
    </row>
    <row r="102" spans="1:10" x14ac:dyDescent="0.25">
      <c r="A102" s="9" t="s">
        <v>6769</v>
      </c>
      <c r="B102" s="9" t="s">
        <v>2308</v>
      </c>
    </row>
    <row r="103" spans="1:10" x14ac:dyDescent="0.25">
      <c r="A103" s="9" t="s">
        <v>6768</v>
      </c>
      <c r="B103" s="9" t="s">
        <v>2309</v>
      </c>
    </row>
    <row r="104" spans="1:10" x14ac:dyDescent="0.25">
      <c r="A104" s="9" t="s">
        <v>6767</v>
      </c>
      <c r="B104" s="9" t="s">
        <v>2310</v>
      </c>
    </row>
    <row r="105" spans="1:10" x14ac:dyDescent="0.25">
      <c r="A105" s="9" t="s">
        <v>6766</v>
      </c>
      <c r="B105" s="9" t="s">
        <v>2311</v>
      </c>
    </row>
    <row r="106" spans="1:10" x14ac:dyDescent="0.25">
      <c r="A106" s="9" t="s">
        <v>6765</v>
      </c>
      <c r="B106" s="9" t="s">
        <v>2312</v>
      </c>
    </row>
    <row r="107" spans="1:10" x14ac:dyDescent="0.25">
      <c r="A107" s="9" t="s">
        <v>6764</v>
      </c>
      <c r="B107" s="9" t="s">
        <v>2313</v>
      </c>
    </row>
    <row r="108" spans="1:10" x14ac:dyDescent="0.25">
      <c r="A108" s="9" t="s">
        <v>6763</v>
      </c>
      <c r="B108" s="9" t="s">
        <v>2314</v>
      </c>
      <c r="J108"/>
    </row>
    <row r="109" spans="1:10" x14ac:dyDescent="0.25">
      <c r="A109" s="9" t="s">
        <v>6762</v>
      </c>
      <c r="B109" s="9" t="s">
        <v>2315</v>
      </c>
      <c r="J109"/>
    </row>
    <row r="110" spans="1:10" x14ac:dyDescent="0.25">
      <c r="A110" s="9" t="s">
        <v>6761</v>
      </c>
      <c r="B110" s="9" t="s">
        <v>2316</v>
      </c>
      <c r="J110"/>
    </row>
    <row r="111" spans="1:10" x14ac:dyDescent="0.25">
      <c r="A111" s="9" t="s">
        <v>6760</v>
      </c>
      <c r="B111" s="9" t="s">
        <v>2317</v>
      </c>
      <c r="J111"/>
    </row>
    <row r="112" spans="1:10" x14ac:dyDescent="0.25">
      <c r="A112" s="9" t="s">
        <v>6759</v>
      </c>
      <c r="B112" s="9" t="s">
        <v>2318</v>
      </c>
      <c r="J112"/>
    </row>
    <row r="113" spans="1:10" x14ac:dyDescent="0.25">
      <c r="A113" s="9" t="s">
        <v>6758</v>
      </c>
      <c r="B113" s="9" t="s">
        <v>2319</v>
      </c>
      <c r="J113"/>
    </row>
    <row r="114" spans="1:10" x14ac:dyDescent="0.25">
      <c r="A114" s="9" t="s">
        <v>6757</v>
      </c>
      <c r="B114" s="9" t="s">
        <v>2320</v>
      </c>
      <c r="J114"/>
    </row>
    <row r="115" spans="1:10" x14ac:dyDescent="0.25">
      <c r="A115" s="9" t="s">
        <v>6756</v>
      </c>
      <c r="B115" s="9" t="s">
        <v>2321</v>
      </c>
      <c r="J115"/>
    </row>
    <row r="116" spans="1:10" x14ac:dyDescent="0.25">
      <c r="A116" s="9" t="s">
        <v>6755</v>
      </c>
      <c r="B116" s="9" t="s">
        <v>2322</v>
      </c>
      <c r="J116"/>
    </row>
    <row r="117" spans="1:10" x14ac:dyDescent="0.25">
      <c r="A117" s="9" t="s">
        <v>6754</v>
      </c>
      <c r="B117" s="9" t="s">
        <v>2323</v>
      </c>
      <c r="J117"/>
    </row>
    <row r="118" spans="1:10" x14ac:dyDescent="0.25">
      <c r="A118" s="9" t="s">
        <v>6753</v>
      </c>
      <c r="B118" s="9" t="s">
        <v>2324</v>
      </c>
      <c r="J118"/>
    </row>
    <row r="119" spans="1:10" x14ac:dyDescent="0.25">
      <c r="A119" s="9" t="s">
        <v>6752</v>
      </c>
      <c r="B119" s="9" t="s">
        <v>2325</v>
      </c>
      <c r="J119"/>
    </row>
    <row r="120" spans="1:10" x14ac:dyDescent="0.25">
      <c r="A120" s="9" t="s">
        <v>6751</v>
      </c>
      <c r="B120" s="9" t="s">
        <v>2326</v>
      </c>
      <c r="J120"/>
    </row>
    <row r="121" spans="1:10" x14ac:dyDescent="0.25">
      <c r="A121" s="9" t="s">
        <v>6750</v>
      </c>
      <c r="B121" s="9" t="s">
        <v>2327</v>
      </c>
      <c r="J121"/>
    </row>
    <row r="122" spans="1:10" x14ac:dyDescent="0.25">
      <c r="A122" s="9" t="s">
        <v>6749</v>
      </c>
      <c r="B122" s="9" t="s">
        <v>2328</v>
      </c>
      <c r="J122"/>
    </row>
    <row r="123" spans="1:10" x14ac:dyDescent="0.25">
      <c r="A123" s="9" t="s">
        <v>6748</v>
      </c>
      <c r="B123" s="9" t="s">
        <v>2329</v>
      </c>
      <c r="J123"/>
    </row>
    <row r="124" spans="1:10" x14ac:dyDescent="0.25">
      <c r="A124" s="9" t="s">
        <v>6747</v>
      </c>
      <c r="B124" s="9" t="s">
        <v>2330</v>
      </c>
      <c r="J124"/>
    </row>
    <row r="125" spans="1:10" x14ac:dyDescent="0.25">
      <c r="A125" s="9" t="s">
        <v>6746</v>
      </c>
      <c r="B125" s="9" t="s">
        <v>2331</v>
      </c>
      <c r="J125"/>
    </row>
    <row r="126" spans="1:10" x14ac:dyDescent="0.25">
      <c r="A126" s="9" t="s">
        <v>6745</v>
      </c>
      <c r="B126" s="9" t="s">
        <v>2332</v>
      </c>
      <c r="J126"/>
    </row>
    <row r="127" spans="1:10" x14ac:dyDescent="0.25">
      <c r="A127" s="9" t="s">
        <v>6744</v>
      </c>
      <c r="B127" s="9" t="s">
        <v>2333</v>
      </c>
      <c r="J127"/>
    </row>
    <row r="128" spans="1:10" x14ac:dyDescent="0.25">
      <c r="A128" s="9" t="s">
        <v>6743</v>
      </c>
      <c r="B128" s="9" t="s">
        <v>2334</v>
      </c>
      <c r="J128"/>
    </row>
    <row r="129" spans="1:10" x14ac:dyDescent="0.25">
      <c r="A129" s="9" t="s">
        <v>6742</v>
      </c>
      <c r="B129" s="9" t="s">
        <v>2335</v>
      </c>
      <c r="J129"/>
    </row>
    <row r="130" spans="1:10" x14ac:dyDescent="0.25">
      <c r="A130" s="9" t="s">
        <v>6741</v>
      </c>
      <c r="B130" s="9" t="s">
        <v>2336</v>
      </c>
      <c r="J130"/>
    </row>
    <row r="131" spans="1:10" x14ac:dyDescent="0.25">
      <c r="A131" s="9" t="s">
        <v>6740</v>
      </c>
      <c r="B131" s="9" t="s">
        <v>2337</v>
      </c>
      <c r="J131"/>
    </row>
    <row r="132" spans="1:10" x14ac:dyDescent="0.25">
      <c r="A132" s="9" t="s">
        <v>6739</v>
      </c>
      <c r="B132" s="9" t="s">
        <v>2338</v>
      </c>
      <c r="J132"/>
    </row>
    <row r="133" spans="1:10" x14ac:dyDescent="0.25">
      <c r="A133" s="9" t="s">
        <v>6738</v>
      </c>
      <c r="B133" s="9" t="s">
        <v>2339</v>
      </c>
      <c r="J133"/>
    </row>
    <row r="134" spans="1:10" x14ac:dyDescent="0.25">
      <c r="A134" s="9" t="s">
        <v>6737</v>
      </c>
      <c r="B134" s="9" t="s">
        <v>2340</v>
      </c>
      <c r="J134"/>
    </row>
    <row r="135" spans="1:10" x14ac:dyDescent="0.25">
      <c r="A135" s="9" t="s">
        <v>6736</v>
      </c>
      <c r="B135" s="9" t="s">
        <v>2341</v>
      </c>
      <c r="J135"/>
    </row>
    <row r="136" spans="1:10" x14ac:dyDescent="0.25">
      <c r="A136" s="9" t="s">
        <v>6735</v>
      </c>
      <c r="B136" s="9" t="s">
        <v>2342</v>
      </c>
      <c r="J136"/>
    </row>
    <row r="137" spans="1:10" x14ac:dyDescent="0.25">
      <c r="A137" s="9" t="s">
        <v>6734</v>
      </c>
      <c r="B137" s="9" t="s">
        <v>2343</v>
      </c>
      <c r="J137"/>
    </row>
    <row r="138" spans="1:10" x14ac:dyDescent="0.25">
      <c r="A138" s="9" t="s">
        <v>6733</v>
      </c>
      <c r="B138" s="9" t="s">
        <v>6950</v>
      </c>
      <c r="J138"/>
    </row>
    <row r="139" spans="1:10" x14ac:dyDescent="0.25">
      <c r="A139" s="9" t="s">
        <v>6732</v>
      </c>
      <c r="B139" s="9" t="s">
        <v>2344</v>
      </c>
      <c r="J139"/>
    </row>
    <row r="140" spans="1:10" x14ac:dyDescent="0.25">
      <c r="A140" s="9" t="s">
        <v>6731</v>
      </c>
      <c r="B140" s="9" t="s">
        <v>2345</v>
      </c>
      <c r="J140"/>
    </row>
    <row r="141" spans="1:10" x14ac:dyDescent="0.25">
      <c r="A141" s="9" t="s">
        <v>6730</v>
      </c>
      <c r="B141" s="9" t="s">
        <v>2346</v>
      </c>
      <c r="J141"/>
    </row>
    <row r="142" spans="1:10" x14ac:dyDescent="0.25">
      <c r="A142" s="9" t="s">
        <v>6729</v>
      </c>
      <c r="B142" s="9" t="s">
        <v>2347</v>
      </c>
      <c r="J142"/>
    </row>
    <row r="143" spans="1:10" x14ac:dyDescent="0.25">
      <c r="A143" s="9" t="s">
        <v>6728</v>
      </c>
      <c r="B143" s="9" t="s">
        <v>2348</v>
      </c>
      <c r="J143"/>
    </row>
    <row r="144" spans="1:10" x14ac:dyDescent="0.25">
      <c r="A144" s="9" t="s">
        <v>6727</v>
      </c>
      <c r="B144" s="9" t="s">
        <v>2349</v>
      </c>
      <c r="J144"/>
    </row>
    <row r="145" spans="1:10" x14ac:dyDescent="0.25">
      <c r="A145" s="9" t="s">
        <v>6726</v>
      </c>
      <c r="B145" s="9" t="s">
        <v>6951</v>
      </c>
      <c r="J145"/>
    </row>
    <row r="146" spans="1:10" x14ac:dyDescent="0.25">
      <c r="A146" s="9" t="s">
        <v>6725</v>
      </c>
      <c r="B146" s="9" t="s">
        <v>2350</v>
      </c>
      <c r="J146"/>
    </row>
    <row r="147" spans="1:10" x14ac:dyDescent="0.25">
      <c r="A147" s="9" t="s">
        <v>6724</v>
      </c>
      <c r="B147" s="9" t="s">
        <v>2351</v>
      </c>
      <c r="J147"/>
    </row>
    <row r="148" spans="1:10" x14ac:dyDescent="0.25">
      <c r="A148" s="9" t="s">
        <v>6723</v>
      </c>
      <c r="B148" s="9" t="s">
        <v>2352</v>
      </c>
      <c r="J148"/>
    </row>
    <row r="149" spans="1:10" x14ac:dyDescent="0.25">
      <c r="A149" s="9" t="s">
        <v>6722</v>
      </c>
      <c r="B149" s="9" t="s">
        <v>2353</v>
      </c>
      <c r="J149"/>
    </row>
    <row r="150" spans="1:10" x14ac:dyDescent="0.25">
      <c r="A150" s="9" t="s">
        <v>6721</v>
      </c>
      <c r="B150" s="9" t="s">
        <v>2354</v>
      </c>
      <c r="J150"/>
    </row>
    <row r="151" spans="1:10" x14ac:dyDescent="0.25">
      <c r="A151" s="9" t="s">
        <v>6720</v>
      </c>
      <c r="B151" s="9" t="s">
        <v>2355</v>
      </c>
      <c r="J151"/>
    </row>
    <row r="152" spans="1:10" x14ac:dyDescent="0.25">
      <c r="A152" s="9" t="s">
        <v>6719</v>
      </c>
      <c r="B152" s="9" t="s">
        <v>2356</v>
      </c>
      <c r="J152"/>
    </row>
    <row r="153" spans="1:10" x14ac:dyDescent="0.25">
      <c r="A153" s="9" t="s">
        <v>6718</v>
      </c>
      <c r="B153" s="9" t="s">
        <v>2357</v>
      </c>
      <c r="J153"/>
    </row>
    <row r="154" spans="1:10" x14ac:dyDescent="0.25">
      <c r="A154" s="9" t="s">
        <v>6717</v>
      </c>
      <c r="B154" s="9" t="s">
        <v>2358</v>
      </c>
      <c r="J154"/>
    </row>
    <row r="155" spans="1:10" x14ac:dyDescent="0.25">
      <c r="A155" s="9" t="s">
        <v>6716</v>
      </c>
      <c r="B155" s="9" t="s">
        <v>2359</v>
      </c>
      <c r="J155"/>
    </row>
    <row r="156" spans="1:10" x14ac:dyDescent="0.25">
      <c r="A156" s="9" t="s">
        <v>6715</v>
      </c>
      <c r="B156" s="9" t="s">
        <v>2360</v>
      </c>
      <c r="J156"/>
    </row>
    <row r="157" spans="1:10" x14ac:dyDescent="0.25">
      <c r="A157" s="9" t="s">
        <v>6714</v>
      </c>
      <c r="B157" s="9" t="s">
        <v>2361</v>
      </c>
      <c r="J157"/>
    </row>
    <row r="158" spans="1:10" x14ac:dyDescent="0.25">
      <c r="A158" s="9" t="s">
        <v>6713</v>
      </c>
      <c r="B158" s="9" t="s">
        <v>2362</v>
      </c>
      <c r="J158"/>
    </row>
    <row r="159" spans="1:10" x14ac:dyDescent="0.25">
      <c r="A159" s="9" t="s">
        <v>6712</v>
      </c>
      <c r="B159" s="9" t="s">
        <v>6948</v>
      </c>
      <c r="J159"/>
    </row>
    <row r="160" spans="1:10" x14ac:dyDescent="0.25">
      <c r="A160" s="9" t="s">
        <v>6711</v>
      </c>
      <c r="B160" s="9" t="s">
        <v>6947</v>
      </c>
      <c r="J160"/>
    </row>
    <row r="161" spans="1:10" x14ac:dyDescent="0.25">
      <c r="A161" s="9" t="s">
        <v>6710</v>
      </c>
      <c r="B161" s="9" t="s">
        <v>6949</v>
      </c>
      <c r="J161"/>
    </row>
    <row r="162" spans="1:10" x14ac:dyDescent="0.25">
      <c r="A162" s="9" t="s">
        <v>6709</v>
      </c>
      <c r="B162" s="9" t="s">
        <v>2363</v>
      </c>
      <c r="J162"/>
    </row>
    <row r="163" spans="1:10" x14ac:dyDescent="0.25">
      <c r="A163" s="9" t="s">
        <v>6708</v>
      </c>
      <c r="B163" s="9" t="s">
        <v>2364</v>
      </c>
      <c r="J163"/>
    </row>
    <row r="164" spans="1:10" x14ac:dyDescent="0.25">
      <c r="A164" s="9" t="s">
        <v>6707</v>
      </c>
      <c r="B164" s="9" t="s">
        <v>2365</v>
      </c>
      <c r="J164"/>
    </row>
    <row r="165" spans="1:10" x14ac:dyDescent="0.25">
      <c r="A165" s="9" t="s">
        <v>6706</v>
      </c>
      <c r="B165" s="9" t="s">
        <v>2366</v>
      </c>
      <c r="J165"/>
    </row>
    <row r="166" spans="1:10" x14ac:dyDescent="0.25">
      <c r="A166" s="9" t="s">
        <v>6705</v>
      </c>
      <c r="B166" s="9" t="s">
        <v>2367</v>
      </c>
      <c r="J166"/>
    </row>
    <row r="167" spans="1:10" x14ac:dyDescent="0.25">
      <c r="A167" s="9" t="s">
        <v>6704</v>
      </c>
      <c r="B167" s="9" t="s">
        <v>2368</v>
      </c>
      <c r="J167"/>
    </row>
    <row r="168" spans="1:10" x14ac:dyDescent="0.25">
      <c r="A168" s="9" t="s">
        <v>6703</v>
      </c>
      <c r="B168" s="9" t="s">
        <v>6946</v>
      </c>
      <c r="J168"/>
    </row>
    <row r="169" spans="1:10" x14ac:dyDescent="0.25">
      <c r="A169" s="9" t="s">
        <v>6702</v>
      </c>
      <c r="B169" s="9" t="s">
        <v>2369</v>
      </c>
      <c r="J169"/>
    </row>
    <row r="170" spans="1:10" x14ac:dyDescent="0.25">
      <c r="A170" s="9" t="s">
        <v>6701</v>
      </c>
      <c r="B170" s="9" t="s">
        <v>2370</v>
      </c>
      <c r="J170"/>
    </row>
    <row r="171" spans="1:10" x14ac:dyDescent="0.25">
      <c r="A171" s="9" t="s">
        <v>6700</v>
      </c>
      <c r="B171" s="9" t="s">
        <v>2371</v>
      </c>
      <c r="J171"/>
    </row>
    <row r="172" spans="1:10" x14ac:dyDescent="0.25">
      <c r="A172" s="9" t="s">
        <v>6699</v>
      </c>
      <c r="B172" s="9" t="s">
        <v>2372</v>
      </c>
      <c r="J172"/>
    </row>
    <row r="173" spans="1:10" x14ac:dyDescent="0.25">
      <c r="A173" s="9" t="s">
        <v>6698</v>
      </c>
      <c r="B173" s="9" t="s">
        <v>2373</v>
      </c>
      <c r="J173"/>
    </row>
    <row r="174" spans="1:10" x14ac:dyDescent="0.25">
      <c r="A174" s="9" t="s">
        <v>6697</v>
      </c>
      <c r="B174" s="9" t="s">
        <v>2374</v>
      </c>
      <c r="J174"/>
    </row>
    <row r="175" spans="1:10" x14ac:dyDescent="0.25">
      <c r="A175" s="9" t="s">
        <v>6696</v>
      </c>
      <c r="B175" s="9" t="s">
        <v>2375</v>
      </c>
      <c r="J175"/>
    </row>
    <row r="176" spans="1:10" x14ac:dyDescent="0.25">
      <c r="A176" s="9" t="s">
        <v>6695</v>
      </c>
      <c r="B176" s="9" t="s">
        <v>2376</v>
      </c>
      <c r="J176"/>
    </row>
    <row r="177" spans="1:10" x14ac:dyDescent="0.25">
      <c r="A177" s="9" t="s">
        <v>6694</v>
      </c>
      <c r="B177" s="9" t="s">
        <v>2377</v>
      </c>
      <c r="J177"/>
    </row>
    <row r="178" spans="1:10" x14ac:dyDescent="0.25">
      <c r="A178" s="9" t="s">
        <v>6693</v>
      </c>
      <c r="B178" s="9" t="s">
        <v>2378</v>
      </c>
      <c r="J178"/>
    </row>
    <row r="179" spans="1:10" x14ac:dyDescent="0.25">
      <c r="A179" s="9" t="s">
        <v>6692</v>
      </c>
      <c r="B179" s="9" t="s">
        <v>2379</v>
      </c>
      <c r="J179"/>
    </row>
    <row r="180" spans="1:10" x14ac:dyDescent="0.25">
      <c r="A180" s="9" t="s">
        <v>6691</v>
      </c>
      <c r="B180" s="9" t="s">
        <v>2380</v>
      </c>
      <c r="J180"/>
    </row>
    <row r="181" spans="1:10" x14ac:dyDescent="0.25">
      <c r="A181" s="9" t="s">
        <v>6690</v>
      </c>
      <c r="B181" s="9" t="s">
        <v>2381</v>
      </c>
      <c r="J181"/>
    </row>
    <row r="182" spans="1:10" x14ac:dyDescent="0.25">
      <c r="A182" s="9" t="s">
        <v>6689</v>
      </c>
      <c r="B182" s="9" t="s">
        <v>2382</v>
      </c>
      <c r="J182"/>
    </row>
    <row r="183" spans="1:10" x14ac:dyDescent="0.25">
      <c r="A183" s="9" t="s">
        <v>6688</v>
      </c>
      <c r="B183" s="9" t="s">
        <v>2383</v>
      </c>
      <c r="J183"/>
    </row>
    <row r="184" spans="1:10" x14ac:dyDescent="0.25">
      <c r="A184" s="9" t="s">
        <v>6687</v>
      </c>
      <c r="B184" s="9" t="s">
        <v>2384</v>
      </c>
      <c r="J184"/>
    </row>
    <row r="185" spans="1:10" x14ac:dyDescent="0.25">
      <c r="A185" s="9" t="s">
        <v>6686</v>
      </c>
      <c r="B185" s="9" t="s">
        <v>2385</v>
      </c>
      <c r="J185"/>
    </row>
    <row r="186" spans="1:10" x14ac:dyDescent="0.25">
      <c r="A186" s="9" t="s">
        <v>6685</v>
      </c>
      <c r="B186" s="9" t="s">
        <v>2386</v>
      </c>
      <c r="J186"/>
    </row>
    <row r="187" spans="1:10" x14ac:dyDescent="0.25">
      <c r="A187" s="9" t="s">
        <v>6684</v>
      </c>
      <c r="B187" s="9" t="s">
        <v>2387</v>
      </c>
      <c r="J187"/>
    </row>
    <row r="188" spans="1:10" x14ac:dyDescent="0.25">
      <c r="A188" s="9" t="s">
        <v>6683</v>
      </c>
      <c r="B188" s="9" t="s">
        <v>2388</v>
      </c>
      <c r="J188"/>
    </row>
    <row r="189" spans="1:10" x14ac:dyDescent="0.25">
      <c r="A189" s="9" t="s">
        <v>6682</v>
      </c>
      <c r="B189" s="9" t="s">
        <v>2389</v>
      </c>
      <c r="J189"/>
    </row>
    <row r="190" spans="1:10" x14ac:dyDescent="0.25">
      <c r="A190" s="9" t="s">
        <v>6681</v>
      </c>
      <c r="B190" s="9" t="s">
        <v>2390</v>
      </c>
      <c r="J190"/>
    </row>
    <row r="191" spans="1:10" x14ac:dyDescent="0.25">
      <c r="A191" s="9" t="s">
        <v>6680</v>
      </c>
      <c r="B191" s="9" t="s">
        <v>2391</v>
      </c>
      <c r="J191"/>
    </row>
    <row r="192" spans="1:10" x14ac:dyDescent="0.25">
      <c r="A192" s="9" t="s">
        <v>6679</v>
      </c>
      <c r="B192" s="9" t="s">
        <v>2392</v>
      </c>
      <c r="J192"/>
    </row>
    <row r="193" spans="1:10" x14ac:dyDescent="0.25">
      <c r="A193" s="9" t="s">
        <v>6678</v>
      </c>
      <c r="B193" s="9" t="s">
        <v>2393</v>
      </c>
      <c r="J193"/>
    </row>
    <row r="194" spans="1:10" x14ac:dyDescent="0.25">
      <c r="A194" s="9" t="s">
        <v>6677</v>
      </c>
      <c r="B194" s="9" t="s">
        <v>2394</v>
      </c>
      <c r="J194"/>
    </row>
    <row r="195" spans="1:10" x14ac:dyDescent="0.25">
      <c r="A195" s="9" t="s">
        <v>6676</v>
      </c>
      <c r="B195" s="9" t="s">
        <v>2395</v>
      </c>
      <c r="J195"/>
    </row>
    <row r="196" spans="1:10" x14ac:dyDescent="0.25">
      <c r="A196" s="9" t="s">
        <v>6675</v>
      </c>
      <c r="B196" s="9" t="s">
        <v>2396</v>
      </c>
      <c r="J196"/>
    </row>
    <row r="197" spans="1:10" x14ac:dyDescent="0.25">
      <c r="A197" s="9" t="s">
        <v>6674</v>
      </c>
      <c r="B197" s="9" t="s">
        <v>2397</v>
      </c>
      <c r="J197"/>
    </row>
    <row r="198" spans="1:10" x14ac:dyDescent="0.25">
      <c r="A198" s="9" t="s">
        <v>6673</v>
      </c>
      <c r="B198" s="9" t="s">
        <v>2398</v>
      </c>
      <c r="J198"/>
    </row>
    <row r="199" spans="1:10" x14ac:dyDescent="0.25">
      <c r="A199" s="9" t="s">
        <v>6672</v>
      </c>
      <c r="B199" s="9" t="s">
        <v>2399</v>
      </c>
      <c r="J199"/>
    </row>
    <row r="200" spans="1:10" x14ac:dyDescent="0.25">
      <c r="A200" s="9" t="s">
        <v>6671</v>
      </c>
      <c r="B200" s="9" t="s">
        <v>2400</v>
      </c>
      <c r="J200"/>
    </row>
    <row r="201" spans="1:10" x14ac:dyDescent="0.25">
      <c r="A201" s="9" t="s">
        <v>6670</v>
      </c>
      <c r="B201" s="9" t="s">
        <v>2401</v>
      </c>
      <c r="J201"/>
    </row>
    <row r="202" spans="1:10" x14ac:dyDescent="0.25">
      <c r="A202" s="9" t="s">
        <v>6669</v>
      </c>
      <c r="B202" s="9" t="s">
        <v>2402</v>
      </c>
      <c r="J202"/>
    </row>
    <row r="203" spans="1:10" x14ac:dyDescent="0.25">
      <c r="A203" s="9" t="s">
        <v>6668</v>
      </c>
      <c r="B203" s="9" t="s">
        <v>2403</v>
      </c>
      <c r="J203"/>
    </row>
    <row r="204" spans="1:10" x14ac:dyDescent="0.25">
      <c r="A204" s="9" t="s">
        <v>6667</v>
      </c>
      <c r="B204" s="9" t="s">
        <v>2404</v>
      </c>
      <c r="J204"/>
    </row>
    <row r="205" spans="1:10" x14ac:dyDescent="0.25">
      <c r="A205" s="9" t="s">
        <v>6666</v>
      </c>
      <c r="B205" s="9" t="s">
        <v>2405</v>
      </c>
      <c r="J205"/>
    </row>
    <row r="206" spans="1:10" x14ac:dyDescent="0.25">
      <c r="A206" s="9" t="s">
        <v>6665</v>
      </c>
      <c r="B206" s="9" t="s">
        <v>2406</v>
      </c>
      <c r="J206"/>
    </row>
    <row r="207" spans="1:10" x14ac:dyDescent="0.25">
      <c r="A207" s="9" t="s">
        <v>6664</v>
      </c>
      <c r="B207" s="9" t="s">
        <v>2407</v>
      </c>
      <c r="J207"/>
    </row>
    <row r="208" spans="1:10" x14ac:dyDescent="0.25">
      <c r="A208" s="9" t="s">
        <v>6663</v>
      </c>
      <c r="B208" s="9" t="s">
        <v>2408</v>
      </c>
      <c r="J208"/>
    </row>
    <row r="209" spans="1:10" x14ac:dyDescent="0.25">
      <c r="A209" s="9" t="s">
        <v>6662</v>
      </c>
      <c r="B209" s="9" t="s">
        <v>2409</v>
      </c>
      <c r="J209"/>
    </row>
    <row r="210" spans="1:10" x14ac:dyDescent="0.25">
      <c r="A210" s="9" t="s">
        <v>6661</v>
      </c>
      <c r="B210" s="9" t="s">
        <v>2410</v>
      </c>
      <c r="J210"/>
    </row>
    <row r="211" spans="1:10" x14ac:dyDescent="0.25">
      <c r="A211" s="9" t="s">
        <v>6660</v>
      </c>
      <c r="B211" s="9" t="s">
        <v>2411</v>
      </c>
      <c r="J211"/>
    </row>
    <row r="212" spans="1:10" x14ac:dyDescent="0.25">
      <c r="A212" s="9" t="s">
        <v>6659</v>
      </c>
      <c r="B212" s="9" t="s">
        <v>2412</v>
      </c>
      <c r="J212"/>
    </row>
    <row r="213" spans="1:10" x14ac:dyDescent="0.25">
      <c r="A213" s="9" t="s">
        <v>6658</v>
      </c>
      <c r="B213" s="9" t="s">
        <v>2413</v>
      </c>
      <c r="J213"/>
    </row>
    <row r="214" spans="1:10" x14ac:dyDescent="0.25">
      <c r="A214" s="9" t="s">
        <v>6657</v>
      </c>
      <c r="B214" s="9" t="s">
        <v>2414</v>
      </c>
      <c r="J214"/>
    </row>
    <row r="215" spans="1:10" x14ac:dyDescent="0.25">
      <c r="A215" s="9" t="s">
        <v>6656</v>
      </c>
      <c r="B215" s="9" t="s">
        <v>2415</v>
      </c>
      <c r="J215"/>
    </row>
    <row r="216" spans="1:10" x14ac:dyDescent="0.25">
      <c r="A216" s="9" t="s">
        <v>6655</v>
      </c>
      <c r="B216" s="9" t="s">
        <v>2416</v>
      </c>
      <c r="J216"/>
    </row>
    <row r="217" spans="1:10" x14ac:dyDescent="0.25">
      <c r="A217" s="9" t="s">
        <v>6654</v>
      </c>
      <c r="B217" s="9" t="s">
        <v>2417</v>
      </c>
      <c r="J217"/>
    </row>
    <row r="218" spans="1:10" x14ac:dyDescent="0.25">
      <c r="A218" s="9" t="s">
        <v>6653</v>
      </c>
      <c r="B218" s="9" t="s">
        <v>2418</v>
      </c>
      <c r="J218"/>
    </row>
    <row r="219" spans="1:10" x14ac:dyDescent="0.25">
      <c r="A219" s="9" t="s">
        <v>6652</v>
      </c>
      <c r="B219" s="9" t="s">
        <v>2419</v>
      </c>
      <c r="J219"/>
    </row>
    <row r="220" spans="1:10" x14ac:dyDescent="0.25">
      <c r="A220" s="9" t="s">
        <v>6651</v>
      </c>
      <c r="B220" s="9" t="s">
        <v>6650</v>
      </c>
      <c r="J220"/>
    </row>
    <row r="221" spans="1:10" x14ac:dyDescent="0.25">
      <c r="A221" s="9" t="s">
        <v>6649</v>
      </c>
      <c r="B221" s="9" t="s">
        <v>2420</v>
      </c>
      <c r="J221"/>
    </row>
    <row r="222" spans="1:10" x14ac:dyDescent="0.25">
      <c r="A222" s="9" t="s">
        <v>6648</v>
      </c>
      <c r="B222" s="9" t="s">
        <v>2421</v>
      </c>
      <c r="J222"/>
    </row>
    <row r="223" spans="1:10" x14ac:dyDescent="0.25">
      <c r="A223" s="9" t="s">
        <v>6647</v>
      </c>
      <c r="B223" s="9" t="s">
        <v>2422</v>
      </c>
      <c r="J223"/>
    </row>
    <row r="224" spans="1:10" x14ac:dyDescent="0.25">
      <c r="A224" s="9" t="s">
        <v>6646</v>
      </c>
      <c r="B224" s="9" t="s">
        <v>2423</v>
      </c>
      <c r="J224"/>
    </row>
    <row r="225" spans="1:10" x14ac:dyDescent="0.25">
      <c r="A225" s="9" t="s">
        <v>6645</v>
      </c>
      <c r="B225" s="9" t="s">
        <v>2424</v>
      </c>
      <c r="J225"/>
    </row>
    <row r="226" spans="1:10" x14ac:dyDescent="0.25">
      <c r="A226" s="9" t="s">
        <v>6644</v>
      </c>
      <c r="B226" s="9" t="s">
        <v>2425</v>
      </c>
      <c r="J226"/>
    </row>
    <row r="227" spans="1:10" x14ac:dyDescent="0.25">
      <c r="A227" s="9" t="s">
        <v>6643</v>
      </c>
      <c r="B227" s="9" t="s">
        <v>2426</v>
      </c>
      <c r="J227"/>
    </row>
    <row r="228" spans="1:10" x14ac:dyDescent="0.25">
      <c r="A228" s="9" t="s">
        <v>6642</v>
      </c>
      <c r="B228" s="9" t="s">
        <v>2427</v>
      </c>
      <c r="J228"/>
    </row>
    <row r="229" spans="1:10" x14ac:dyDescent="0.25">
      <c r="A229" s="9" t="s">
        <v>6641</v>
      </c>
      <c r="B229" s="9" t="s">
        <v>2428</v>
      </c>
      <c r="J229"/>
    </row>
    <row r="230" spans="1:10" x14ac:dyDescent="0.25">
      <c r="A230" s="9" t="s">
        <v>6640</v>
      </c>
      <c r="B230" s="9" t="s">
        <v>2429</v>
      </c>
      <c r="J230"/>
    </row>
    <row r="231" spans="1:10" x14ac:dyDescent="0.25">
      <c r="A231" s="9" t="s">
        <v>6639</v>
      </c>
      <c r="B231" s="9" t="s">
        <v>2430</v>
      </c>
      <c r="J231"/>
    </row>
    <row r="232" spans="1:10" x14ac:dyDescent="0.25">
      <c r="A232" s="9" t="s">
        <v>6638</v>
      </c>
      <c r="B232" s="9" t="s">
        <v>2431</v>
      </c>
      <c r="J232"/>
    </row>
    <row r="233" spans="1:10" x14ac:dyDescent="0.25">
      <c r="A233" s="9" t="s">
        <v>6637</v>
      </c>
      <c r="B233" s="9" t="s">
        <v>2432</v>
      </c>
      <c r="J233"/>
    </row>
    <row r="234" spans="1:10" x14ac:dyDescent="0.25">
      <c r="A234" s="9" t="s">
        <v>6636</v>
      </c>
      <c r="B234" s="9" t="s">
        <v>2433</v>
      </c>
      <c r="J234"/>
    </row>
    <row r="235" spans="1:10" x14ac:dyDescent="0.25">
      <c r="A235" s="9" t="s">
        <v>6635</v>
      </c>
      <c r="B235" s="9" t="s">
        <v>2434</v>
      </c>
      <c r="J235"/>
    </row>
    <row r="236" spans="1:10" x14ac:dyDescent="0.25">
      <c r="A236" s="9" t="s">
        <v>6634</v>
      </c>
      <c r="B236" s="9" t="s">
        <v>2435</v>
      </c>
      <c r="J236"/>
    </row>
    <row r="237" spans="1:10" x14ac:dyDescent="0.25">
      <c r="A237" s="9" t="s">
        <v>6633</v>
      </c>
      <c r="B237" s="9" t="s">
        <v>2436</v>
      </c>
      <c r="J237"/>
    </row>
    <row r="238" spans="1:10" x14ac:dyDescent="0.25">
      <c r="A238" s="9" t="s">
        <v>6632</v>
      </c>
      <c r="B238" s="9" t="s">
        <v>2437</v>
      </c>
      <c r="J238"/>
    </row>
    <row r="239" spans="1:10" x14ac:dyDescent="0.25">
      <c r="A239" s="9" t="s">
        <v>6631</v>
      </c>
      <c r="B239" s="9" t="s">
        <v>2438</v>
      </c>
      <c r="J239"/>
    </row>
    <row r="240" spans="1:10" x14ac:dyDescent="0.25">
      <c r="A240" s="9" t="s">
        <v>6630</v>
      </c>
      <c r="B240" s="9" t="s">
        <v>2439</v>
      </c>
      <c r="J240"/>
    </row>
    <row r="241" spans="1:10" x14ac:dyDescent="0.25">
      <c r="A241" s="9" t="s">
        <v>6629</v>
      </c>
      <c r="B241" s="9" t="s">
        <v>2440</v>
      </c>
      <c r="J241"/>
    </row>
    <row r="242" spans="1:10" x14ac:dyDescent="0.25">
      <c r="A242" s="9" t="s">
        <v>6628</v>
      </c>
      <c r="B242" s="9" t="s">
        <v>2441</v>
      </c>
      <c r="J242"/>
    </row>
    <row r="243" spans="1:10" x14ac:dyDescent="0.25">
      <c r="A243" s="9" t="s">
        <v>6627</v>
      </c>
      <c r="B243" s="9" t="s">
        <v>2442</v>
      </c>
      <c r="J243"/>
    </row>
    <row r="244" spans="1:10" x14ac:dyDescent="0.25">
      <c r="A244" s="9" t="s">
        <v>6626</v>
      </c>
      <c r="B244" s="9" t="s">
        <v>2443</v>
      </c>
      <c r="J244"/>
    </row>
    <row r="245" spans="1:10" x14ac:dyDescent="0.25">
      <c r="A245" s="9" t="s">
        <v>6625</v>
      </c>
      <c r="B245" s="9" t="s">
        <v>2444</v>
      </c>
      <c r="J245"/>
    </row>
    <row r="246" spans="1:10" x14ac:dyDescent="0.25">
      <c r="A246" s="9" t="s">
        <v>6624</v>
      </c>
      <c r="B246" s="9" t="s">
        <v>2445</v>
      </c>
      <c r="J246"/>
    </row>
    <row r="247" spans="1:10" x14ac:dyDescent="0.25">
      <c r="A247" s="9" t="s">
        <v>6623</v>
      </c>
      <c r="B247" s="9" t="s">
        <v>2446</v>
      </c>
      <c r="J247"/>
    </row>
    <row r="248" spans="1:10" x14ac:dyDescent="0.25">
      <c r="A248" s="9" t="s">
        <v>6622</v>
      </c>
      <c r="B248" s="9" t="s">
        <v>2447</v>
      </c>
      <c r="J248"/>
    </row>
    <row r="249" spans="1:10" x14ac:dyDescent="0.25">
      <c r="A249" s="9" t="s">
        <v>6621</v>
      </c>
      <c r="B249" s="9" t="s">
        <v>2448</v>
      </c>
      <c r="J249"/>
    </row>
    <row r="250" spans="1:10" x14ac:dyDescent="0.25">
      <c r="A250" s="9" t="s">
        <v>6620</v>
      </c>
      <c r="B250" s="9" t="s">
        <v>2449</v>
      </c>
      <c r="J250"/>
    </row>
    <row r="251" spans="1:10" x14ac:dyDescent="0.25">
      <c r="A251" s="9" t="s">
        <v>6619</v>
      </c>
      <c r="B251" s="9" t="s">
        <v>2450</v>
      </c>
      <c r="J251"/>
    </row>
    <row r="252" spans="1:10" x14ac:dyDescent="0.25">
      <c r="A252" s="9" t="s">
        <v>6618</v>
      </c>
      <c r="B252" s="9" t="s">
        <v>2451</v>
      </c>
      <c r="J252"/>
    </row>
    <row r="253" spans="1:10" x14ac:dyDescent="0.25">
      <c r="A253" s="9" t="s">
        <v>6617</v>
      </c>
      <c r="B253" s="9" t="s">
        <v>2452</v>
      </c>
      <c r="J253"/>
    </row>
    <row r="254" spans="1:10" x14ac:dyDescent="0.25">
      <c r="A254" s="9" t="s">
        <v>6616</v>
      </c>
      <c r="B254" s="9" t="s">
        <v>2453</v>
      </c>
      <c r="J254"/>
    </row>
    <row r="255" spans="1:10" x14ac:dyDescent="0.25">
      <c r="A255" s="9" t="s">
        <v>6615</v>
      </c>
      <c r="B255" s="9" t="s">
        <v>2454</v>
      </c>
      <c r="J255"/>
    </row>
    <row r="256" spans="1:10" x14ac:dyDescent="0.25">
      <c r="A256" s="9" t="s">
        <v>6614</v>
      </c>
      <c r="B256" s="9" t="s">
        <v>2455</v>
      </c>
      <c r="J256"/>
    </row>
    <row r="257" spans="1:10" x14ac:dyDescent="0.25">
      <c r="A257" s="9" t="s">
        <v>6613</v>
      </c>
      <c r="B257" s="9" t="s">
        <v>2456</v>
      </c>
      <c r="J257"/>
    </row>
    <row r="258" spans="1:10" x14ac:dyDescent="0.25">
      <c r="A258" s="9" t="s">
        <v>6612</v>
      </c>
      <c r="B258" s="9" t="s">
        <v>2457</v>
      </c>
      <c r="J258"/>
    </row>
    <row r="259" spans="1:10" x14ac:dyDescent="0.25">
      <c r="A259" s="9" t="s">
        <v>6611</v>
      </c>
      <c r="B259" s="9" t="s">
        <v>2458</v>
      </c>
      <c r="J259"/>
    </row>
    <row r="260" spans="1:10" x14ac:dyDescent="0.25">
      <c r="A260" s="9" t="s">
        <v>6610</v>
      </c>
      <c r="B260" s="9" t="s">
        <v>2459</v>
      </c>
      <c r="J260"/>
    </row>
    <row r="261" spans="1:10" x14ac:dyDescent="0.25">
      <c r="A261" s="9" t="s">
        <v>6609</v>
      </c>
      <c r="B261" s="9" t="s">
        <v>2460</v>
      </c>
      <c r="J261"/>
    </row>
    <row r="262" spans="1:10" x14ac:dyDescent="0.25">
      <c r="A262" s="9" t="s">
        <v>6608</v>
      </c>
      <c r="B262" s="9" t="s">
        <v>2461</v>
      </c>
      <c r="J262"/>
    </row>
    <row r="263" spans="1:10" x14ac:dyDescent="0.25">
      <c r="A263" s="9" t="s">
        <v>6607</v>
      </c>
      <c r="B263" s="9" t="s">
        <v>2462</v>
      </c>
      <c r="J263"/>
    </row>
    <row r="264" spans="1:10" x14ac:dyDescent="0.25">
      <c r="A264" s="9" t="s">
        <v>6606</v>
      </c>
      <c r="B264" s="9" t="s">
        <v>2463</v>
      </c>
      <c r="J264"/>
    </row>
    <row r="265" spans="1:10" x14ac:dyDescent="0.25">
      <c r="A265" s="9" t="s">
        <v>6605</v>
      </c>
      <c r="B265" s="9" t="s">
        <v>2464</v>
      </c>
      <c r="J265"/>
    </row>
    <row r="266" spans="1:10" x14ac:dyDescent="0.25">
      <c r="A266" s="9" t="s">
        <v>6604</v>
      </c>
      <c r="B266" s="9" t="s">
        <v>2465</v>
      </c>
      <c r="J266"/>
    </row>
    <row r="267" spans="1:10" x14ac:dyDescent="0.25">
      <c r="A267" s="9" t="s">
        <v>6603</v>
      </c>
      <c r="B267" s="9" t="s">
        <v>2466</v>
      </c>
      <c r="J267"/>
    </row>
    <row r="268" spans="1:10" x14ac:dyDescent="0.25">
      <c r="A268" s="9" t="s">
        <v>6602</v>
      </c>
      <c r="B268" s="9" t="s">
        <v>2467</v>
      </c>
      <c r="J268"/>
    </row>
    <row r="269" spans="1:10" x14ac:dyDescent="0.25">
      <c r="A269" s="9" t="s">
        <v>6601</v>
      </c>
      <c r="B269" s="9" t="s">
        <v>2468</v>
      </c>
      <c r="J269"/>
    </row>
    <row r="270" spans="1:10" x14ac:dyDescent="0.25">
      <c r="A270" s="9" t="s">
        <v>6600</v>
      </c>
      <c r="B270" s="9" t="s">
        <v>2469</v>
      </c>
      <c r="J270"/>
    </row>
    <row r="271" spans="1:10" x14ac:dyDescent="0.25">
      <c r="A271" s="9" t="s">
        <v>6599</v>
      </c>
      <c r="B271" s="9" t="s">
        <v>6598</v>
      </c>
      <c r="J271"/>
    </row>
    <row r="272" spans="1:10" x14ac:dyDescent="0.25">
      <c r="A272" s="9" t="s">
        <v>6597</v>
      </c>
      <c r="B272" s="9" t="s">
        <v>2470</v>
      </c>
      <c r="J272"/>
    </row>
    <row r="273" spans="1:10" x14ac:dyDescent="0.25">
      <c r="A273" s="9" t="s">
        <v>6596</v>
      </c>
      <c r="B273" s="9" t="s">
        <v>2471</v>
      </c>
      <c r="J273"/>
    </row>
    <row r="274" spans="1:10" x14ac:dyDescent="0.25">
      <c r="A274" s="9" t="s">
        <v>6595</v>
      </c>
      <c r="B274" s="9" t="s">
        <v>2472</v>
      </c>
      <c r="J274"/>
    </row>
    <row r="275" spans="1:10" x14ac:dyDescent="0.25">
      <c r="A275" s="9" t="s">
        <v>6594</v>
      </c>
      <c r="B275" s="9" t="s">
        <v>2473</v>
      </c>
      <c r="J275"/>
    </row>
    <row r="276" spans="1:10" x14ac:dyDescent="0.25">
      <c r="A276" s="9" t="s">
        <v>6593</v>
      </c>
      <c r="B276" s="9" t="s">
        <v>2474</v>
      </c>
      <c r="J276"/>
    </row>
    <row r="277" spans="1:10" x14ac:dyDescent="0.25">
      <c r="A277" s="9" t="s">
        <v>6592</v>
      </c>
      <c r="B277" s="9" t="s">
        <v>2475</v>
      </c>
      <c r="J277"/>
    </row>
    <row r="278" spans="1:10" x14ac:dyDescent="0.25">
      <c r="A278" s="9" t="s">
        <v>6591</v>
      </c>
      <c r="B278" s="9" t="s">
        <v>6590</v>
      </c>
      <c r="J278"/>
    </row>
    <row r="279" spans="1:10" x14ac:dyDescent="0.25">
      <c r="A279" s="9" t="s">
        <v>6589</v>
      </c>
      <c r="B279" s="9" t="s">
        <v>2476</v>
      </c>
      <c r="J279"/>
    </row>
    <row r="280" spans="1:10" x14ac:dyDescent="0.25">
      <c r="A280" s="9" t="s">
        <v>6588</v>
      </c>
      <c r="B280" s="9" t="s">
        <v>2477</v>
      </c>
      <c r="J280"/>
    </row>
    <row r="281" spans="1:10" x14ac:dyDescent="0.25">
      <c r="A281" s="9" t="s">
        <v>6587</v>
      </c>
      <c r="B281" s="9" t="s">
        <v>2478</v>
      </c>
      <c r="J281"/>
    </row>
    <row r="282" spans="1:10" x14ac:dyDescent="0.25">
      <c r="A282" s="9" t="s">
        <v>6586</v>
      </c>
      <c r="B282" s="9" t="s">
        <v>2479</v>
      </c>
      <c r="J282"/>
    </row>
    <row r="283" spans="1:10" x14ac:dyDescent="0.25">
      <c r="A283" s="9" t="s">
        <v>6585</v>
      </c>
      <c r="B283" s="9" t="s">
        <v>2480</v>
      </c>
      <c r="J283"/>
    </row>
    <row r="284" spans="1:10" x14ac:dyDescent="0.25">
      <c r="A284" s="9" t="s">
        <v>6584</v>
      </c>
      <c r="B284" s="9" t="s">
        <v>2481</v>
      </c>
      <c r="J284"/>
    </row>
    <row r="285" spans="1:10" x14ac:dyDescent="0.25">
      <c r="A285" s="9" t="s">
        <v>6583</v>
      </c>
      <c r="B285" s="9" t="s">
        <v>2482</v>
      </c>
      <c r="J285"/>
    </row>
    <row r="286" spans="1:10" x14ac:dyDescent="0.25">
      <c r="A286" s="9" t="s">
        <v>6582</v>
      </c>
      <c r="B286" s="9" t="s">
        <v>2483</v>
      </c>
      <c r="J286"/>
    </row>
    <row r="287" spans="1:10" x14ac:dyDescent="0.25">
      <c r="A287" s="9" t="s">
        <v>6581</v>
      </c>
      <c r="B287" s="9" t="s">
        <v>2484</v>
      </c>
      <c r="J287"/>
    </row>
    <row r="288" spans="1:10" x14ac:dyDescent="0.25">
      <c r="A288" s="9" t="s">
        <v>6580</v>
      </c>
      <c r="B288" s="9" t="s">
        <v>2485</v>
      </c>
      <c r="J288"/>
    </row>
    <row r="289" spans="1:10" x14ac:dyDescent="0.25">
      <c r="A289" s="9" t="s">
        <v>6579</v>
      </c>
      <c r="B289" s="9" t="s">
        <v>2486</v>
      </c>
      <c r="J289"/>
    </row>
    <row r="290" spans="1:10" x14ac:dyDescent="0.25">
      <c r="A290" s="9" t="s">
        <v>6578</v>
      </c>
      <c r="B290" s="9" t="s">
        <v>2487</v>
      </c>
      <c r="J290"/>
    </row>
    <row r="291" spans="1:10" x14ac:dyDescent="0.25">
      <c r="A291" s="9" t="s">
        <v>6577</v>
      </c>
      <c r="B291" s="9" t="s">
        <v>6576</v>
      </c>
      <c r="J291"/>
    </row>
    <row r="292" spans="1:10" x14ac:dyDescent="0.25">
      <c r="A292" s="9" t="s">
        <v>6575</v>
      </c>
      <c r="B292" s="9" t="s">
        <v>2488</v>
      </c>
      <c r="J292"/>
    </row>
    <row r="293" spans="1:10" x14ac:dyDescent="0.25">
      <c r="A293" s="9" t="s">
        <v>6574</v>
      </c>
      <c r="B293" s="9" t="s">
        <v>2489</v>
      </c>
      <c r="J293"/>
    </row>
    <row r="294" spans="1:10" x14ac:dyDescent="0.25">
      <c r="A294" s="9" t="s">
        <v>6573</v>
      </c>
      <c r="B294" s="9" t="s">
        <v>2490</v>
      </c>
      <c r="J294"/>
    </row>
    <row r="295" spans="1:10" x14ac:dyDescent="0.25">
      <c r="A295" s="9" t="s">
        <v>6572</v>
      </c>
      <c r="B295" s="9" t="s">
        <v>2491</v>
      </c>
      <c r="J295"/>
    </row>
    <row r="296" spans="1:10" x14ac:dyDescent="0.25">
      <c r="A296" s="9" t="s">
        <v>6571</v>
      </c>
      <c r="B296" s="9" t="s">
        <v>2492</v>
      </c>
      <c r="J296"/>
    </row>
    <row r="297" spans="1:10" x14ac:dyDescent="0.25">
      <c r="A297" s="9" t="s">
        <v>6570</v>
      </c>
      <c r="B297" s="9" t="s">
        <v>2493</v>
      </c>
      <c r="J297"/>
    </row>
    <row r="298" spans="1:10" x14ac:dyDescent="0.25">
      <c r="A298" s="9" t="s">
        <v>6569</v>
      </c>
      <c r="B298" s="9" t="s">
        <v>2494</v>
      </c>
      <c r="J298"/>
    </row>
    <row r="299" spans="1:10" x14ac:dyDescent="0.25">
      <c r="A299" s="9" t="s">
        <v>6568</v>
      </c>
      <c r="B299" s="9" t="s">
        <v>2495</v>
      </c>
      <c r="J299"/>
    </row>
    <row r="300" spans="1:10" x14ac:dyDescent="0.25">
      <c r="A300" s="9" t="s">
        <v>6567</v>
      </c>
      <c r="B300" s="9" t="s">
        <v>2496</v>
      </c>
      <c r="J300"/>
    </row>
    <row r="301" spans="1:10" x14ac:dyDescent="0.25">
      <c r="A301" s="9" t="s">
        <v>6566</v>
      </c>
      <c r="B301" s="9" t="s">
        <v>2497</v>
      </c>
      <c r="J301"/>
    </row>
    <row r="302" spans="1:10" x14ac:dyDescent="0.25">
      <c r="A302" s="9" t="s">
        <v>6565</v>
      </c>
      <c r="B302" s="9" t="s">
        <v>2498</v>
      </c>
      <c r="J302"/>
    </row>
    <row r="303" spans="1:10" x14ac:dyDescent="0.25">
      <c r="A303" s="9" t="s">
        <v>6564</v>
      </c>
      <c r="B303" s="9" t="s">
        <v>2499</v>
      </c>
      <c r="J303"/>
    </row>
    <row r="304" spans="1:10" x14ac:dyDescent="0.25">
      <c r="A304" s="9" t="s">
        <v>6563</v>
      </c>
      <c r="B304" s="9" t="s">
        <v>2500</v>
      </c>
      <c r="J304"/>
    </row>
    <row r="305" spans="1:10" x14ac:dyDescent="0.25">
      <c r="A305" s="9" t="s">
        <v>6562</v>
      </c>
      <c r="B305" s="9" t="s">
        <v>2501</v>
      </c>
      <c r="J305"/>
    </row>
    <row r="306" spans="1:10" x14ac:dyDescent="0.25">
      <c r="A306" s="9" t="s">
        <v>6561</v>
      </c>
      <c r="B306" s="9" t="s">
        <v>6560</v>
      </c>
      <c r="J306"/>
    </row>
    <row r="307" spans="1:10" x14ac:dyDescent="0.25">
      <c r="A307" s="9" t="s">
        <v>6559</v>
      </c>
      <c r="B307" s="9" t="s">
        <v>2502</v>
      </c>
      <c r="J307"/>
    </row>
    <row r="308" spans="1:10" x14ac:dyDescent="0.25">
      <c r="A308" s="9" t="s">
        <v>6558</v>
      </c>
      <c r="B308" s="9" t="s">
        <v>2503</v>
      </c>
      <c r="J308"/>
    </row>
    <row r="309" spans="1:10" x14ac:dyDescent="0.25">
      <c r="A309" s="9" t="s">
        <v>6557</v>
      </c>
      <c r="B309" s="9" t="s">
        <v>2504</v>
      </c>
      <c r="J309"/>
    </row>
    <row r="310" spans="1:10" x14ac:dyDescent="0.25">
      <c r="A310" s="9" t="s">
        <v>6556</v>
      </c>
      <c r="B310" s="9" t="s">
        <v>2505</v>
      </c>
      <c r="J310"/>
    </row>
    <row r="311" spans="1:10" x14ac:dyDescent="0.25">
      <c r="A311" s="9" t="s">
        <v>6555</v>
      </c>
      <c r="B311" s="9" t="s">
        <v>2506</v>
      </c>
      <c r="J311"/>
    </row>
    <row r="312" spans="1:10" x14ac:dyDescent="0.25">
      <c r="A312" s="9" t="s">
        <v>6554</v>
      </c>
      <c r="B312" s="9" t="s">
        <v>2507</v>
      </c>
      <c r="J312"/>
    </row>
    <row r="313" spans="1:10" x14ac:dyDescent="0.25">
      <c r="A313" s="9" t="s">
        <v>6553</v>
      </c>
      <c r="B313" s="9" t="s">
        <v>2508</v>
      </c>
      <c r="J313"/>
    </row>
    <row r="314" spans="1:10" x14ac:dyDescent="0.25">
      <c r="A314" s="9" t="s">
        <v>6552</v>
      </c>
      <c r="B314" s="9" t="s">
        <v>2509</v>
      </c>
      <c r="J314"/>
    </row>
    <row r="315" spans="1:10" x14ac:dyDescent="0.25">
      <c r="A315" s="9" t="s">
        <v>6551</v>
      </c>
      <c r="B315" s="9" t="s">
        <v>2510</v>
      </c>
      <c r="J315"/>
    </row>
    <row r="316" spans="1:10" x14ac:dyDescent="0.25">
      <c r="A316" s="9" t="s">
        <v>6550</v>
      </c>
      <c r="B316" s="9" t="s">
        <v>2511</v>
      </c>
      <c r="J316"/>
    </row>
    <row r="317" spans="1:10" x14ac:dyDescent="0.25">
      <c r="A317" s="9" t="s">
        <v>6549</v>
      </c>
      <c r="B317" s="9" t="s">
        <v>2512</v>
      </c>
      <c r="J317"/>
    </row>
    <row r="318" spans="1:10" x14ac:dyDescent="0.25">
      <c r="A318" s="9" t="s">
        <v>6548</v>
      </c>
      <c r="B318" s="9" t="s">
        <v>2513</v>
      </c>
      <c r="J318"/>
    </row>
    <row r="319" spans="1:10" x14ac:dyDescent="0.25">
      <c r="A319" s="9" t="s">
        <v>6547</v>
      </c>
      <c r="B319" s="9" t="s">
        <v>2514</v>
      </c>
      <c r="J319"/>
    </row>
    <row r="320" spans="1:10" x14ac:dyDescent="0.25">
      <c r="A320" s="9" t="s">
        <v>6546</v>
      </c>
      <c r="B320" s="9" t="s">
        <v>2515</v>
      </c>
      <c r="J320"/>
    </row>
    <row r="321" spans="1:10" x14ac:dyDescent="0.25">
      <c r="A321" s="9" t="s">
        <v>6545</v>
      </c>
      <c r="B321" s="9" t="s">
        <v>2516</v>
      </c>
      <c r="J321"/>
    </row>
    <row r="322" spans="1:10" x14ac:dyDescent="0.25">
      <c r="A322" s="9" t="s">
        <v>6544</v>
      </c>
      <c r="B322" s="9" t="s">
        <v>2517</v>
      </c>
      <c r="J322"/>
    </row>
    <row r="323" spans="1:10" x14ac:dyDescent="0.25">
      <c r="A323" s="9" t="s">
        <v>6543</v>
      </c>
      <c r="B323" s="9" t="s">
        <v>2518</v>
      </c>
      <c r="J323"/>
    </row>
    <row r="324" spans="1:10" x14ac:dyDescent="0.25">
      <c r="A324" s="9" t="s">
        <v>6542</v>
      </c>
      <c r="B324" s="9" t="s">
        <v>2519</v>
      </c>
      <c r="J324"/>
    </row>
    <row r="325" spans="1:10" x14ac:dyDescent="0.25">
      <c r="A325" s="9" t="s">
        <v>6541</v>
      </c>
      <c r="B325" s="9" t="s">
        <v>2520</v>
      </c>
      <c r="J325"/>
    </row>
    <row r="326" spans="1:10" x14ac:dyDescent="0.25">
      <c r="A326" s="9" t="s">
        <v>6540</v>
      </c>
      <c r="B326" s="9" t="s">
        <v>2521</v>
      </c>
      <c r="J326"/>
    </row>
    <row r="327" spans="1:10" x14ac:dyDescent="0.25">
      <c r="A327" s="9" t="s">
        <v>6539</v>
      </c>
      <c r="B327" s="9" t="s">
        <v>2522</v>
      </c>
      <c r="J327"/>
    </row>
    <row r="328" spans="1:10" x14ac:dyDescent="0.25">
      <c r="A328" s="9" t="s">
        <v>6538</v>
      </c>
      <c r="B328" s="9" t="s">
        <v>2523</v>
      </c>
      <c r="J328"/>
    </row>
    <row r="329" spans="1:10" x14ac:dyDescent="0.25">
      <c r="A329" s="9" t="s">
        <v>6537</v>
      </c>
      <c r="B329" s="9" t="s">
        <v>2524</v>
      </c>
      <c r="J329"/>
    </row>
    <row r="330" spans="1:10" x14ac:dyDescent="0.25">
      <c r="A330" s="9" t="s">
        <v>6536</v>
      </c>
      <c r="B330" s="9" t="s">
        <v>2525</v>
      </c>
      <c r="J330"/>
    </row>
    <row r="331" spans="1:10" x14ac:dyDescent="0.25">
      <c r="A331" s="9" t="s">
        <v>6535</v>
      </c>
      <c r="B331" s="9" t="s">
        <v>2526</v>
      </c>
      <c r="J331"/>
    </row>
    <row r="332" spans="1:10" x14ac:dyDescent="0.25">
      <c r="A332" s="9" t="s">
        <v>6534</v>
      </c>
      <c r="B332" s="9" t="s">
        <v>2527</v>
      </c>
      <c r="J332"/>
    </row>
    <row r="333" spans="1:10" x14ac:dyDescent="0.25">
      <c r="A333" s="9" t="s">
        <v>6533</v>
      </c>
      <c r="B333" s="9" t="s">
        <v>2528</v>
      </c>
      <c r="J333"/>
    </row>
    <row r="334" spans="1:10" x14ac:dyDescent="0.25">
      <c r="A334" s="9" t="s">
        <v>6532</v>
      </c>
      <c r="B334" s="9" t="s">
        <v>2529</v>
      </c>
      <c r="J334"/>
    </row>
    <row r="335" spans="1:10" x14ac:dyDescent="0.25">
      <c r="A335" s="9" t="s">
        <v>6531</v>
      </c>
      <c r="B335" s="9" t="s">
        <v>2530</v>
      </c>
      <c r="J335"/>
    </row>
    <row r="336" spans="1:10" x14ac:dyDescent="0.25">
      <c r="A336" s="9" t="s">
        <v>6530</v>
      </c>
      <c r="B336" s="9" t="s">
        <v>2531</v>
      </c>
      <c r="J336"/>
    </row>
    <row r="337" spans="1:10" x14ac:dyDescent="0.25">
      <c r="A337" s="9" t="s">
        <v>6529</v>
      </c>
      <c r="B337" s="9" t="s">
        <v>2532</v>
      </c>
      <c r="J337"/>
    </row>
    <row r="338" spans="1:10" x14ac:dyDescent="0.25">
      <c r="A338" s="9" t="s">
        <v>6528</v>
      </c>
      <c r="B338" s="9" t="s">
        <v>2533</v>
      </c>
      <c r="J338"/>
    </row>
    <row r="339" spans="1:10" x14ac:dyDescent="0.25">
      <c r="A339" s="9" t="s">
        <v>6527</v>
      </c>
      <c r="B339" s="9" t="s">
        <v>2534</v>
      </c>
      <c r="J339"/>
    </row>
    <row r="340" spans="1:10" x14ac:dyDescent="0.25">
      <c r="A340" s="9" t="s">
        <v>6526</v>
      </c>
      <c r="B340" s="9" t="s">
        <v>2535</v>
      </c>
      <c r="J340"/>
    </row>
    <row r="341" spans="1:10" x14ac:dyDescent="0.25">
      <c r="A341" s="9" t="s">
        <v>6525</v>
      </c>
      <c r="B341" s="9" t="s">
        <v>2536</v>
      </c>
      <c r="J341"/>
    </row>
    <row r="342" spans="1:10" x14ac:dyDescent="0.25">
      <c r="A342" s="9" t="s">
        <v>6524</v>
      </c>
      <c r="B342" s="9" t="s">
        <v>2537</v>
      </c>
      <c r="J342"/>
    </row>
    <row r="343" spans="1:10" x14ac:dyDescent="0.25">
      <c r="A343" s="9" t="s">
        <v>6523</v>
      </c>
      <c r="B343" s="9" t="s">
        <v>2538</v>
      </c>
      <c r="J343"/>
    </row>
    <row r="344" spans="1:10" x14ac:dyDescent="0.25">
      <c r="A344" s="9" t="s">
        <v>6522</v>
      </c>
      <c r="B344" s="9" t="s">
        <v>2539</v>
      </c>
      <c r="J344"/>
    </row>
    <row r="345" spans="1:10" x14ac:dyDescent="0.25">
      <c r="A345" s="9" t="s">
        <v>6521</v>
      </c>
      <c r="B345" s="9" t="s">
        <v>2540</v>
      </c>
      <c r="J345"/>
    </row>
    <row r="346" spans="1:10" x14ac:dyDescent="0.25">
      <c r="A346" s="9" t="s">
        <v>6520</v>
      </c>
      <c r="B346" s="9" t="s">
        <v>2541</v>
      </c>
      <c r="J346"/>
    </row>
    <row r="347" spans="1:10" x14ac:dyDescent="0.25">
      <c r="A347" s="9" t="s">
        <v>6519</v>
      </c>
      <c r="B347" s="9" t="s">
        <v>2542</v>
      </c>
      <c r="J347"/>
    </row>
    <row r="348" spans="1:10" x14ac:dyDescent="0.25">
      <c r="A348" s="9" t="s">
        <v>6518</v>
      </c>
      <c r="B348" s="9" t="s">
        <v>2543</v>
      </c>
      <c r="J348"/>
    </row>
    <row r="349" spans="1:10" x14ac:dyDescent="0.25">
      <c r="A349" s="9" t="s">
        <v>6517</v>
      </c>
      <c r="B349" s="9" t="s">
        <v>2544</v>
      </c>
      <c r="J349"/>
    </row>
    <row r="350" spans="1:10" x14ac:dyDescent="0.25">
      <c r="A350" s="9" t="s">
        <v>6516</v>
      </c>
      <c r="B350" s="9" t="s">
        <v>2545</v>
      </c>
      <c r="J350"/>
    </row>
    <row r="351" spans="1:10" x14ac:dyDescent="0.25">
      <c r="A351" s="9" t="s">
        <v>6515</v>
      </c>
      <c r="B351" s="9" t="s">
        <v>2546</v>
      </c>
      <c r="J351"/>
    </row>
    <row r="352" spans="1:10" x14ac:dyDescent="0.25">
      <c r="A352" s="9" t="s">
        <v>6514</v>
      </c>
      <c r="B352" s="9" t="s">
        <v>2547</v>
      </c>
      <c r="J352"/>
    </row>
    <row r="353" spans="1:10" x14ac:dyDescent="0.25">
      <c r="A353" s="9" t="s">
        <v>6513</v>
      </c>
      <c r="B353" s="9" t="s">
        <v>2548</v>
      </c>
      <c r="J353"/>
    </row>
    <row r="354" spans="1:10" x14ac:dyDescent="0.25">
      <c r="A354" s="9" t="s">
        <v>6512</v>
      </c>
      <c r="B354" s="9" t="s">
        <v>2549</v>
      </c>
      <c r="J354"/>
    </row>
    <row r="355" spans="1:10" x14ac:dyDescent="0.25">
      <c r="A355" s="9" t="s">
        <v>6511</v>
      </c>
      <c r="B355" s="9" t="s">
        <v>2550</v>
      </c>
      <c r="J355"/>
    </row>
    <row r="356" spans="1:10" x14ac:dyDescent="0.25">
      <c r="A356" s="9" t="s">
        <v>6510</v>
      </c>
      <c r="B356" s="9" t="s">
        <v>2551</v>
      </c>
      <c r="J356"/>
    </row>
    <row r="357" spans="1:10" x14ac:dyDescent="0.25">
      <c r="A357" s="9" t="s">
        <v>6509</v>
      </c>
      <c r="B357" s="9" t="s">
        <v>2552</v>
      </c>
      <c r="J357"/>
    </row>
    <row r="358" spans="1:10" x14ac:dyDescent="0.25">
      <c r="A358" s="9" t="s">
        <v>6508</v>
      </c>
      <c r="B358" s="9" t="s">
        <v>2553</v>
      </c>
      <c r="J358"/>
    </row>
    <row r="359" spans="1:10" x14ac:dyDescent="0.25">
      <c r="A359" s="9" t="s">
        <v>6507</v>
      </c>
      <c r="B359" s="9" t="s">
        <v>2554</v>
      </c>
      <c r="J359"/>
    </row>
    <row r="360" spans="1:10" x14ac:dyDescent="0.25">
      <c r="A360" s="9" t="s">
        <v>6506</v>
      </c>
      <c r="B360" s="9" t="s">
        <v>2555</v>
      </c>
      <c r="J360"/>
    </row>
    <row r="361" spans="1:10" x14ac:dyDescent="0.25">
      <c r="A361" s="9" t="s">
        <v>6505</v>
      </c>
      <c r="B361" s="9" t="s">
        <v>2556</v>
      </c>
      <c r="J361"/>
    </row>
    <row r="362" spans="1:10" x14ac:dyDescent="0.25">
      <c r="A362" s="9" t="s">
        <v>6504</v>
      </c>
      <c r="B362" s="9" t="s">
        <v>2557</v>
      </c>
      <c r="J362"/>
    </row>
    <row r="363" spans="1:10" x14ac:dyDescent="0.25">
      <c r="A363" s="9" t="s">
        <v>6503</v>
      </c>
      <c r="B363" s="9" t="s">
        <v>2558</v>
      </c>
      <c r="J363"/>
    </row>
    <row r="364" spans="1:10" x14ac:dyDescent="0.25">
      <c r="A364" s="9" t="s">
        <v>6502</v>
      </c>
      <c r="B364" s="9" t="s">
        <v>2559</v>
      </c>
      <c r="J364"/>
    </row>
    <row r="365" spans="1:10" x14ac:dyDescent="0.25">
      <c r="A365" s="9" t="s">
        <v>6501</v>
      </c>
      <c r="B365" s="9" t="s">
        <v>2560</v>
      </c>
      <c r="J365"/>
    </row>
    <row r="366" spans="1:10" x14ac:dyDescent="0.25">
      <c r="A366" s="9" t="s">
        <v>6500</v>
      </c>
      <c r="B366" s="9" t="s">
        <v>2561</v>
      </c>
      <c r="J366"/>
    </row>
    <row r="367" spans="1:10" x14ac:dyDescent="0.25">
      <c r="A367" s="9" t="s">
        <v>6499</v>
      </c>
      <c r="B367" s="9" t="s">
        <v>2562</v>
      </c>
      <c r="J367"/>
    </row>
    <row r="368" spans="1:10" x14ac:dyDescent="0.25">
      <c r="A368" s="9" t="s">
        <v>6498</v>
      </c>
      <c r="B368" s="9" t="s">
        <v>2563</v>
      </c>
      <c r="J368"/>
    </row>
    <row r="369" spans="1:10" x14ac:dyDescent="0.25">
      <c r="A369" s="9" t="s">
        <v>6497</v>
      </c>
      <c r="B369" s="9" t="s">
        <v>2564</v>
      </c>
      <c r="J369"/>
    </row>
    <row r="370" spans="1:10" x14ac:dyDescent="0.25">
      <c r="A370" s="9" t="s">
        <v>6496</v>
      </c>
      <c r="B370" s="9" t="s">
        <v>2565</v>
      </c>
      <c r="J370"/>
    </row>
    <row r="371" spans="1:10" x14ac:dyDescent="0.25">
      <c r="A371" s="9" t="s">
        <v>6495</v>
      </c>
      <c r="B371" s="9" t="s">
        <v>2566</v>
      </c>
      <c r="J371"/>
    </row>
    <row r="372" spans="1:10" x14ac:dyDescent="0.25">
      <c r="A372" s="9" t="s">
        <v>6494</v>
      </c>
      <c r="B372" s="9" t="s">
        <v>2567</v>
      </c>
      <c r="J372"/>
    </row>
    <row r="373" spans="1:10" x14ac:dyDescent="0.25">
      <c r="A373" s="9" t="s">
        <v>6493</v>
      </c>
      <c r="B373" s="9" t="s">
        <v>2568</v>
      </c>
      <c r="J373"/>
    </row>
    <row r="374" spans="1:10" x14ac:dyDescent="0.25">
      <c r="A374" s="9" t="s">
        <v>6492</v>
      </c>
      <c r="B374" s="9" t="s">
        <v>2569</v>
      </c>
      <c r="J374"/>
    </row>
    <row r="375" spans="1:10" x14ac:dyDescent="0.25">
      <c r="A375" s="9" t="s">
        <v>6491</v>
      </c>
      <c r="B375" s="9" t="s">
        <v>2570</v>
      </c>
      <c r="J375"/>
    </row>
    <row r="376" spans="1:10" x14ac:dyDescent="0.25">
      <c r="A376" s="9" t="s">
        <v>6490</v>
      </c>
      <c r="B376" s="9" t="s">
        <v>2571</v>
      </c>
      <c r="J376"/>
    </row>
    <row r="377" spans="1:10" x14ac:dyDescent="0.25">
      <c r="A377" s="9" t="s">
        <v>6489</v>
      </c>
      <c r="B377" s="9" t="s">
        <v>2572</v>
      </c>
      <c r="J377"/>
    </row>
    <row r="378" spans="1:10" x14ac:dyDescent="0.25">
      <c r="A378" s="9" t="s">
        <v>6488</v>
      </c>
      <c r="B378" s="9" t="s">
        <v>2573</v>
      </c>
      <c r="J378"/>
    </row>
    <row r="379" spans="1:10" x14ac:dyDescent="0.25">
      <c r="A379" s="9" t="s">
        <v>6487</v>
      </c>
      <c r="B379" s="9" t="s">
        <v>2574</v>
      </c>
      <c r="J379"/>
    </row>
    <row r="380" spans="1:10" x14ac:dyDescent="0.25">
      <c r="A380" s="9" t="s">
        <v>6486</v>
      </c>
      <c r="B380" s="9" t="s">
        <v>2575</v>
      </c>
      <c r="J380"/>
    </row>
    <row r="381" spans="1:10" x14ac:dyDescent="0.25">
      <c r="A381" s="9" t="s">
        <v>6485</v>
      </c>
      <c r="B381" s="9" t="s">
        <v>2576</v>
      </c>
      <c r="J381"/>
    </row>
    <row r="382" spans="1:10" x14ac:dyDescent="0.25">
      <c r="A382" s="9" t="s">
        <v>6484</v>
      </c>
      <c r="B382" s="9" t="s">
        <v>2577</v>
      </c>
      <c r="J382"/>
    </row>
    <row r="383" spans="1:10" x14ac:dyDescent="0.25">
      <c r="A383" s="9" t="s">
        <v>6483</v>
      </c>
      <c r="B383" s="9" t="s">
        <v>2578</v>
      </c>
      <c r="J383"/>
    </row>
    <row r="384" spans="1:10" x14ac:dyDescent="0.25">
      <c r="A384" s="9" t="s">
        <v>6482</v>
      </c>
      <c r="B384" s="9" t="s">
        <v>2579</v>
      </c>
      <c r="J384"/>
    </row>
    <row r="385" spans="1:10" x14ac:dyDescent="0.25">
      <c r="A385" s="9" t="s">
        <v>6481</v>
      </c>
      <c r="B385" s="9" t="s">
        <v>2580</v>
      </c>
      <c r="J385"/>
    </row>
    <row r="386" spans="1:10" x14ac:dyDescent="0.25">
      <c r="A386" s="9" t="s">
        <v>6480</v>
      </c>
      <c r="B386" s="9" t="s">
        <v>2581</v>
      </c>
      <c r="J386"/>
    </row>
    <row r="387" spans="1:10" x14ac:dyDescent="0.25">
      <c r="A387" s="9" t="s">
        <v>6479</v>
      </c>
      <c r="B387" s="9" t="s">
        <v>2582</v>
      </c>
      <c r="J387"/>
    </row>
    <row r="388" spans="1:10" x14ac:dyDescent="0.25">
      <c r="A388" s="9" t="s">
        <v>6478</v>
      </c>
      <c r="B388" s="9" t="s">
        <v>2583</v>
      </c>
      <c r="J388"/>
    </row>
    <row r="389" spans="1:10" x14ac:dyDescent="0.25">
      <c r="A389" s="9" t="s">
        <v>6477</v>
      </c>
      <c r="B389" s="9" t="s">
        <v>2584</v>
      </c>
      <c r="J389"/>
    </row>
    <row r="390" spans="1:10" x14ac:dyDescent="0.25">
      <c r="A390" s="9" t="s">
        <v>6476</v>
      </c>
      <c r="B390" s="9" t="s">
        <v>2585</v>
      </c>
      <c r="J390"/>
    </row>
    <row r="391" spans="1:10" x14ac:dyDescent="0.25">
      <c r="A391" s="9" t="s">
        <v>6475</v>
      </c>
      <c r="B391" s="9" t="s">
        <v>2586</v>
      </c>
      <c r="J391"/>
    </row>
    <row r="392" spans="1:10" x14ac:dyDescent="0.25">
      <c r="A392" s="9" t="s">
        <v>6474</v>
      </c>
      <c r="B392" s="9" t="s">
        <v>2587</v>
      </c>
      <c r="J392"/>
    </row>
    <row r="393" spans="1:10" x14ac:dyDescent="0.25">
      <c r="A393" s="9" t="s">
        <v>6473</v>
      </c>
      <c r="B393" s="9" t="s">
        <v>2588</v>
      </c>
      <c r="J393"/>
    </row>
    <row r="394" spans="1:10" x14ac:dyDescent="0.25">
      <c r="A394" s="9" t="s">
        <v>6472</v>
      </c>
      <c r="B394" s="9" t="s">
        <v>2589</v>
      </c>
      <c r="J394"/>
    </row>
    <row r="395" spans="1:10" x14ac:dyDescent="0.25">
      <c r="A395" s="9" t="s">
        <v>6471</v>
      </c>
      <c r="B395" s="9" t="s">
        <v>2590</v>
      </c>
      <c r="J395"/>
    </row>
    <row r="396" spans="1:10" x14ac:dyDescent="0.25">
      <c r="A396" s="9" t="s">
        <v>6470</v>
      </c>
      <c r="B396" s="9" t="s">
        <v>2591</v>
      </c>
      <c r="J396"/>
    </row>
    <row r="397" spans="1:10" x14ac:dyDescent="0.25">
      <c r="A397" s="9" t="s">
        <v>6469</v>
      </c>
      <c r="B397" s="9" t="s">
        <v>2592</v>
      </c>
      <c r="J397"/>
    </row>
    <row r="398" spans="1:10" x14ac:dyDescent="0.25">
      <c r="A398" s="9" t="s">
        <v>6468</v>
      </c>
      <c r="B398" s="9" t="s">
        <v>2593</v>
      </c>
      <c r="J398"/>
    </row>
    <row r="399" spans="1:10" x14ac:dyDescent="0.25">
      <c r="A399" s="9" t="s">
        <v>6467</v>
      </c>
      <c r="B399" s="9" t="s">
        <v>2594</v>
      </c>
      <c r="J399"/>
    </row>
    <row r="400" spans="1:10" x14ac:dyDescent="0.25">
      <c r="A400" s="9" t="s">
        <v>6466</v>
      </c>
      <c r="B400" s="9" t="s">
        <v>2595</v>
      </c>
      <c r="J400"/>
    </row>
    <row r="401" spans="1:10" x14ac:dyDescent="0.25">
      <c r="A401" s="9" t="s">
        <v>6465</v>
      </c>
      <c r="B401" s="9" t="s">
        <v>2596</v>
      </c>
      <c r="J401"/>
    </row>
    <row r="402" spans="1:10" x14ac:dyDescent="0.25">
      <c r="A402" s="9" t="s">
        <v>6464</v>
      </c>
      <c r="B402" s="9" t="s">
        <v>2597</v>
      </c>
      <c r="J402"/>
    </row>
    <row r="403" spans="1:10" x14ac:dyDescent="0.25">
      <c r="A403" s="9" t="s">
        <v>6463</v>
      </c>
      <c r="B403" s="9" t="s">
        <v>2598</v>
      </c>
      <c r="J403"/>
    </row>
    <row r="404" spans="1:10" x14ac:dyDescent="0.25">
      <c r="A404" s="9" t="s">
        <v>6462</v>
      </c>
      <c r="B404" s="9" t="s">
        <v>2599</v>
      </c>
      <c r="J404"/>
    </row>
    <row r="405" spans="1:10" x14ac:dyDescent="0.25">
      <c r="A405" s="9" t="s">
        <v>6461</v>
      </c>
      <c r="B405" s="9" t="s">
        <v>2600</v>
      </c>
      <c r="J405"/>
    </row>
    <row r="406" spans="1:10" x14ac:dyDescent="0.25">
      <c r="A406" s="9" t="s">
        <v>6460</v>
      </c>
      <c r="B406" s="9" t="s">
        <v>2601</v>
      </c>
      <c r="J406"/>
    </row>
    <row r="407" spans="1:10" x14ac:dyDescent="0.25">
      <c r="A407" s="9" t="s">
        <v>6459</v>
      </c>
      <c r="B407" s="9" t="s">
        <v>2602</v>
      </c>
      <c r="J407"/>
    </row>
    <row r="408" spans="1:10" x14ac:dyDescent="0.25">
      <c r="A408" s="9" t="s">
        <v>6458</v>
      </c>
      <c r="B408" s="9" t="s">
        <v>2603</v>
      </c>
      <c r="J408"/>
    </row>
    <row r="409" spans="1:10" x14ac:dyDescent="0.25">
      <c r="A409" s="9" t="s">
        <v>6457</v>
      </c>
      <c r="B409" s="9" t="s">
        <v>2604</v>
      </c>
      <c r="J409"/>
    </row>
    <row r="410" spans="1:10" x14ac:dyDescent="0.25">
      <c r="A410" s="9" t="s">
        <v>6456</v>
      </c>
      <c r="B410" s="9" t="s">
        <v>2605</v>
      </c>
      <c r="J410"/>
    </row>
    <row r="411" spans="1:10" x14ac:dyDescent="0.25">
      <c r="A411" s="9" t="s">
        <v>6455</v>
      </c>
      <c r="B411" s="9" t="s">
        <v>2606</v>
      </c>
      <c r="J411"/>
    </row>
    <row r="412" spans="1:10" x14ac:dyDescent="0.25">
      <c r="A412" s="9" t="s">
        <v>6454</v>
      </c>
      <c r="B412" s="9" t="s">
        <v>2607</v>
      </c>
      <c r="J412"/>
    </row>
    <row r="413" spans="1:10" x14ac:dyDescent="0.25">
      <c r="A413" s="9" t="s">
        <v>6453</v>
      </c>
      <c r="B413" s="9" t="s">
        <v>2608</v>
      </c>
      <c r="J413"/>
    </row>
    <row r="414" spans="1:10" x14ac:dyDescent="0.25">
      <c r="A414" s="9" t="s">
        <v>6452</v>
      </c>
      <c r="B414" s="9" t="s">
        <v>2609</v>
      </c>
      <c r="J414"/>
    </row>
    <row r="415" spans="1:10" x14ac:dyDescent="0.25">
      <c r="A415" s="9" t="s">
        <v>6451</v>
      </c>
      <c r="B415" s="9" t="s">
        <v>2610</v>
      </c>
      <c r="J415"/>
    </row>
    <row r="416" spans="1:10" x14ac:dyDescent="0.25">
      <c r="A416" s="9" t="s">
        <v>6450</v>
      </c>
      <c r="B416" s="9" t="s">
        <v>2611</v>
      </c>
      <c r="J416"/>
    </row>
    <row r="417" spans="1:10" x14ac:dyDescent="0.25">
      <c r="A417" s="9" t="s">
        <v>6449</v>
      </c>
      <c r="B417" s="9" t="s">
        <v>2612</v>
      </c>
      <c r="J417"/>
    </row>
    <row r="418" spans="1:10" x14ac:dyDescent="0.25">
      <c r="A418" s="9" t="s">
        <v>6448</v>
      </c>
      <c r="B418" s="9" t="s">
        <v>2613</v>
      </c>
      <c r="J418"/>
    </row>
    <row r="419" spans="1:10" x14ac:dyDescent="0.25">
      <c r="A419" s="9" t="s">
        <v>6447</v>
      </c>
      <c r="B419" s="9" t="s">
        <v>2614</v>
      </c>
      <c r="J419"/>
    </row>
    <row r="420" spans="1:10" x14ac:dyDescent="0.25">
      <c r="A420" s="9" t="s">
        <v>6446</v>
      </c>
      <c r="B420" s="9" t="s">
        <v>2615</v>
      </c>
    </row>
    <row r="421" spans="1:10" x14ac:dyDescent="0.25">
      <c r="A421" s="9" t="s">
        <v>6445</v>
      </c>
      <c r="B421" s="9" t="s">
        <v>2616</v>
      </c>
    </row>
    <row r="422" spans="1:10" x14ac:dyDescent="0.25">
      <c r="A422" s="9" t="s">
        <v>6444</v>
      </c>
      <c r="B422" s="9" t="s">
        <v>2617</v>
      </c>
    </row>
    <row r="423" spans="1:10" x14ac:dyDescent="0.25">
      <c r="A423" s="9" t="s">
        <v>6443</v>
      </c>
      <c r="B423" s="9" t="s">
        <v>6442</v>
      </c>
    </row>
    <row r="424" spans="1:10" x14ac:dyDescent="0.25">
      <c r="A424" s="9" t="s">
        <v>6441</v>
      </c>
      <c r="B424" s="9" t="s">
        <v>2618</v>
      </c>
    </row>
    <row r="425" spans="1:10" x14ac:dyDescent="0.25">
      <c r="A425" s="9" t="s">
        <v>6440</v>
      </c>
      <c r="B425" s="9" t="s">
        <v>2619</v>
      </c>
    </row>
    <row r="426" spans="1:10" x14ac:dyDescent="0.25">
      <c r="A426" s="9" t="s">
        <v>6439</v>
      </c>
      <c r="B426" s="9" t="s">
        <v>2620</v>
      </c>
    </row>
    <row r="427" spans="1:10" x14ac:dyDescent="0.25">
      <c r="A427" s="9" t="s">
        <v>6438</v>
      </c>
      <c r="B427" s="9" t="s">
        <v>6437</v>
      </c>
    </row>
    <row r="428" spans="1:10" x14ac:dyDescent="0.25">
      <c r="A428" s="9" t="s">
        <v>6436</v>
      </c>
      <c r="B428" s="9" t="s">
        <v>2621</v>
      </c>
    </row>
    <row r="429" spans="1:10" x14ac:dyDescent="0.25">
      <c r="A429" s="9" t="s">
        <v>6435</v>
      </c>
      <c r="B429" s="9" t="s">
        <v>2622</v>
      </c>
    </row>
    <row r="430" spans="1:10" x14ac:dyDescent="0.25">
      <c r="A430" s="9" t="s">
        <v>6434</v>
      </c>
      <c r="B430" s="9" t="s">
        <v>2623</v>
      </c>
    </row>
    <row r="431" spans="1:10" x14ac:dyDescent="0.25">
      <c r="A431" s="9" t="s">
        <v>6433</v>
      </c>
      <c r="B431" s="9" t="s">
        <v>2624</v>
      </c>
    </row>
    <row r="432" spans="1:10" x14ac:dyDescent="0.25">
      <c r="A432" s="9" t="s">
        <v>6432</v>
      </c>
      <c r="B432" s="9" t="s">
        <v>2625</v>
      </c>
    </row>
    <row r="433" spans="1:2" x14ac:dyDescent="0.25">
      <c r="A433" s="9" t="s">
        <v>6431</v>
      </c>
      <c r="B433" s="9" t="s">
        <v>2626</v>
      </c>
    </row>
    <row r="434" spans="1:2" x14ac:dyDescent="0.25">
      <c r="A434" s="9" t="s">
        <v>6430</v>
      </c>
      <c r="B434" s="9" t="s">
        <v>2627</v>
      </c>
    </row>
    <row r="435" spans="1:2" x14ac:dyDescent="0.25">
      <c r="A435" s="9" t="s">
        <v>6429</v>
      </c>
      <c r="B435" s="9" t="s">
        <v>2628</v>
      </c>
    </row>
    <row r="436" spans="1:2" x14ac:dyDescent="0.25">
      <c r="A436" s="9" t="s">
        <v>6428</v>
      </c>
      <c r="B436" s="9" t="s">
        <v>2629</v>
      </c>
    </row>
    <row r="437" spans="1:2" x14ac:dyDescent="0.25">
      <c r="A437" s="9" t="s">
        <v>6427</v>
      </c>
      <c r="B437" s="9" t="s">
        <v>2630</v>
      </c>
    </row>
    <row r="438" spans="1:2" x14ac:dyDescent="0.25">
      <c r="A438" s="9" t="s">
        <v>6426</v>
      </c>
      <c r="B438" s="9" t="s">
        <v>6425</v>
      </c>
    </row>
    <row r="439" spans="1:2" x14ac:dyDescent="0.25">
      <c r="A439" s="9" t="s">
        <v>6424</v>
      </c>
      <c r="B439" s="9" t="s">
        <v>2631</v>
      </c>
    </row>
    <row r="440" spans="1:2" x14ac:dyDescent="0.25">
      <c r="A440" s="9" t="s">
        <v>6423</v>
      </c>
      <c r="B440" s="9" t="s">
        <v>2632</v>
      </c>
    </row>
    <row r="441" spans="1:2" x14ac:dyDescent="0.25">
      <c r="A441" s="9" t="s">
        <v>6422</v>
      </c>
      <c r="B441" s="9" t="s">
        <v>2633</v>
      </c>
    </row>
    <row r="442" spans="1:2" x14ac:dyDescent="0.25">
      <c r="A442" s="9" t="s">
        <v>6421</v>
      </c>
      <c r="B442" s="9" t="s">
        <v>2634</v>
      </c>
    </row>
    <row r="443" spans="1:2" x14ac:dyDescent="0.25">
      <c r="A443" s="9" t="s">
        <v>6420</v>
      </c>
      <c r="B443" s="9" t="s">
        <v>6419</v>
      </c>
    </row>
    <row r="444" spans="1:2" x14ac:dyDescent="0.25">
      <c r="A444" s="9" t="s">
        <v>6418</v>
      </c>
      <c r="B444" s="9" t="s">
        <v>2635</v>
      </c>
    </row>
    <row r="445" spans="1:2" x14ac:dyDescent="0.25">
      <c r="A445" s="9" t="s">
        <v>6417</v>
      </c>
      <c r="B445" s="9" t="s">
        <v>2636</v>
      </c>
    </row>
    <row r="446" spans="1:2" x14ac:dyDescent="0.25">
      <c r="A446" s="9" t="s">
        <v>6416</v>
      </c>
      <c r="B446" s="9" t="s">
        <v>2637</v>
      </c>
    </row>
    <row r="447" spans="1:2" x14ac:dyDescent="0.25">
      <c r="A447" s="9" t="s">
        <v>6415</v>
      </c>
      <c r="B447" s="9" t="s">
        <v>2638</v>
      </c>
    </row>
    <row r="448" spans="1:2" x14ac:dyDescent="0.25">
      <c r="A448" s="9" t="s">
        <v>6414</v>
      </c>
      <c r="B448" s="9" t="s">
        <v>2639</v>
      </c>
    </row>
    <row r="449" spans="1:2" x14ac:dyDescent="0.25">
      <c r="A449" s="9" t="s">
        <v>6413</v>
      </c>
      <c r="B449" s="9" t="s">
        <v>2640</v>
      </c>
    </row>
    <row r="450" spans="1:2" x14ac:dyDescent="0.25">
      <c r="A450" s="9" t="s">
        <v>6412</v>
      </c>
      <c r="B450" s="9" t="s">
        <v>2641</v>
      </c>
    </row>
    <row r="451" spans="1:2" x14ac:dyDescent="0.25">
      <c r="A451" s="9" t="s">
        <v>6411</v>
      </c>
      <c r="B451" s="9" t="s">
        <v>2642</v>
      </c>
    </row>
    <row r="452" spans="1:2" x14ac:dyDescent="0.25">
      <c r="A452" s="9" t="s">
        <v>6410</v>
      </c>
      <c r="B452" s="9" t="s">
        <v>2643</v>
      </c>
    </row>
    <row r="453" spans="1:2" x14ac:dyDescent="0.25">
      <c r="A453" s="9" t="s">
        <v>6409</v>
      </c>
      <c r="B453" s="9" t="s">
        <v>2644</v>
      </c>
    </row>
    <row r="454" spans="1:2" x14ac:dyDescent="0.25">
      <c r="A454" s="9" t="s">
        <v>6408</v>
      </c>
      <c r="B454" s="9" t="s">
        <v>6407</v>
      </c>
    </row>
    <row r="455" spans="1:2" x14ac:dyDescent="0.25">
      <c r="A455" s="9" t="s">
        <v>6406</v>
      </c>
      <c r="B455" s="9" t="s">
        <v>2645</v>
      </c>
    </row>
    <row r="456" spans="1:2" x14ac:dyDescent="0.25">
      <c r="A456" s="9" t="s">
        <v>6405</v>
      </c>
      <c r="B456" s="9" t="s">
        <v>2646</v>
      </c>
    </row>
    <row r="457" spans="1:2" x14ac:dyDescent="0.25">
      <c r="A457" s="9" t="s">
        <v>6404</v>
      </c>
      <c r="B457" s="9" t="s">
        <v>2647</v>
      </c>
    </row>
    <row r="458" spans="1:2" x14ac:dyDescent="0.25">
      <c r="A458" s="9" t="s">
        <v>6403</v>
      </c>
      <c r="B458" s="9" t="s">
        <v>6402</v>
      </c>
    </row>
    <row r="459" spans="1:2" x14ac:dyDescent="0.25">
      <c r="A459" s="9" t="s">
        <v>6401</v>
      </c>
      <c r="B459" s="9" t="s">
        <v>2648</v>
      </c>
    </row>
    <row r="460" spans="1:2" x14ac:dyDescent="0.25">
      <c r="A460" s="9" t="s">
        <v>6400</v>
      </c>
      <c r="B460" s="9" t="s">
        <v>2649</v>
      </c>
    </row>
    <row r="461" spans="1:2" x14ac:dyDescent="0.25">
      <c r="A461" s="9" t="s">
        <v>6399</v>
      </c>
      <c r="B461" s="9" t="s">
        <v>2650</v>
      </c>
    </row>
    <row r="462" spans="1:2" x14ac:dyDescent="0.25">
      <c r="A462" s="9" t="s">
        <v>6398</v>
      </c>
      <c r="B462" s="9" t="s">
        <v>2651</v>
      </c>
    </row>
    <row r="463" spans="1:2" x14ac:dyDescent="0.25">
      <c r="A463" s="9" t="s">
        <v>6397</v>
      </c>
      <c r="B463" s="9" t="s">
        <v>2652</v>
      </c>
    </row>
    <row r="464" spans="1:2" x14ac:dyDescent="0.25">
      <c r="A464" s="9" t="s">
        <v>6396</v>
      </c>
      <c r="B464" s="9" t="s">
        <v>2653</v>
      </c>
    </row>
    <row r="465" spans="1:2" x14ac:dyDescent="0.25">
      <c r="A465" s="9" t="s">
        <v>6395</v>
      </c>
      <c r="B465" s="9" t="s">
        <v>2654</v>
      </c>
    </row>
    <row r="466" spans="1:2" x14ac:dyDescent="0.25">
      <c r="A466" s="9" t="s">
        <v>6394</v>
      </c>
      <c r="B466" s="9" t="s">
        <v>2655</v>
      </c>
    </row>
    <row r="467" spans="1:2" x14ac:dyDescent="0.25">
      <c r="A467" s="9" t="s">
        <v>6393</v>
      </c>
      <c r="B467" s="9" t="s">
        <v>2656</v>
      </c>
    </row>
    <row r="468" spans="1:2" x14ac:dyDescent="0.25">
      <c r="A468" s="9" t="s">
        <v>6392</v>
      </c>
      <c r="B468" s="9" t="s">
        <v>2657</v>
      </c>
    </row>
    <row r="469" spans="1:2" x14ac:dyDescent="0.25">
      <c r="A469" s="9" t="s">
        <v>6391</v>
      </c>
      <c r="B469" s="9" t="s">
        <v>6390</v>
      </c>
    </row>
    <row r="470" spans="1:2" x14ac:dyDescent="0.25">
      <c r="A470" s="9" t="s">
        <v>6389</v>
      </c>
      <c r="B470" s="9" t="s">
        <v>2658</v>
      </c>
    </row>
    <row r="471" spans="1:2" x14ac:dyDescent="0.25">
      <c r="A471" s="9" t="s">
        <v>6388</v>
      </c>
      <c r="B471" s="9" t="s">
        <v>2659</v>
      </c>
    </row>
    <row r="472" spans="1:2" x14ac:dyDescent="0.25">
      <c r="A472" s="9" t="s">
        <v>6387</v>
      </c>
      <c r="B472" s="9" t="s">
        <v>2660</v>
      </c>
    </row>
    <row r="473" spans="1:2" x14ac:dyDescent="0.25">
      <c r="A473" s="9" t="s">
        <v>6386</v>
      </c>
      <c r="B473" s="9" t="s">
        <v>6385</v>
      </c>
    </row>
    <row r="474" spans="1:2" x14ac:dyDescent="0.25">
      <c r="A474" s="9" t="s">
        <v>6384</v>
      </c>
      <c r="B474" s="9" t="s">
        <v>2661</v>
      </c>
    </row>
    <row r="475" spans="1:2" x14ac:dyDescent="0.25">
      <c r="A475" s="9" t="s">
        <v>6383</v>
      </c>
      <c r="B475" s="9" t="s">
        <v>2662</v>
      </c>
    </row>
    <row r="476" spans="1:2" x14ac:dyDescent="0.25">
      <c r="A476" s="9" t="s">
        <v>6382</v>
      </c>
      <c r="B476" s="9" t="s">
        <v>2663</v>
      </c>
    </row>
    <row r="477" spans="1:2" x14ac:dyDescent="0.25">
      <c r="A477" s="9" t="s">
        <v>6381</v>
      </c>
      <c r="B477" s="9" t="s">
        <v>2664</v>
      </c>
    </row>
    <row r="478" spans="1:2" x14ac:dyDescent="0.25">
      <c r="A478" s="9" t="s">
        <v>6380</v>
      </c>
      <c r="B478" s="9" t="s">
        <v>2665</v>
      </c>
    </row>
    <row r="479" spans="1:2" x14ac:dyDescent="0.25">
      <c r="A479" s="9" t="s">
        <v>6379</v>
      </c>
      <c r="B479" s="9" t="s">
        <v>2666</v>
      </c>
    </row>
    <row r="480" spans="1:2" x14ac:dyDescent="0.25">
      <c r="A480" s="9" t="s">
        <v>6378</v>
      </c>
      <c r="B480" s="9" t="s">
        <v>2667</v>
      </c>
    </row>
    <row r="481" spans="1:2" x14ac:dyDescent="0.25">
      <c r="A481" s="9" t="s">
        <v>6377</v>
      </c>
      <c r="B481" s="9" t="s">
        <v>2668</v>
      </c>
    </row>
    <row r="482" spans="1:2" x14ac:dyDescent="0.25">
      <c r="A482" s="9" t="s">
        <v>6376</v>
      </c>
      <c r="B482" s="9" t="s">
        <v>2669</v>
      </c>
    </row>
    <row r="483" spans="1:2" x14ac:dyDescent="0.25">
      <c r="A483" s="9" t="s">
        <v>6375</v>
      </c>
      <c r="B483" s="9" t="s">
        <v>2670</v>
      </c>
    </row>
    <row r="484" spans="1:2" x14ac:dyDescent="0.25">
      <c r="A484" s="9" t="s">
        <v>6374</v>
      </c>
      <c r="B484" s="9" t="s">
        <v>6373</v>
      </c>
    </row>
    <row r="485" spans="1:2" x14ac:dyDescent="0.25">
      <c r="A485" s="9" t="s">
        <v>6372</v>
      </c>
      <c r="B485" s="9" t="s">
        <v>2671</v>
      </c>
    </row>
    <row r="486" spans="1:2" x14ac:dyDescent="0.25">
      <c r="A486" s="9" t="s">
        <v>6371</v>
      </c>
      <c r="B486" s="9" t="s">
        <v>2672</v>
      </c>
    </row>
    <row r="487" spans="1:2" x14ac:dyDescent="0.25">
      <c r="A487" s="9" t="s">
        <v>6370</v>
      </c>
      <c r="B487" s="9" t="s">
        <v>2673</v>
      </c>
    </row>
    <row r="488" spans="1:2" x14ac:dyDescent="0.25">
      <c r="A488" s="9" t="s">
        <v>6369</v>
      </c>
      <c r="B488" s="9" t="s">
        <v>6368</v>
      </c>
    </row>
    <row r="489" spans="1:2" x14ac:dyDescent="0.25">
      <c r="A489" s="9" t="s">
        <v>6367</v>
      </c>
      <c r="B489" s="9" t="s">
        <v>2674</v>
      </c>
    </row>
    <row r="490" spans="1:2" x14ac:dyDescent="0.25">
      <c r="A490" s="9" t="s">
        <v>6366</v>
      </c>
      <c r="B490" s="9" t="s">
        <v>2675</v>
      </c>
    </row>
    <row r="491" spans="1:2" x14ac:dyDescent="0.25">
      <c r="A491" s="9" t="s">
        <v>6365</v>
      </c>
      <c r="B491" s="9" t="s">
        <v>2676</v>
      </c>
    </row>
    <row r="492" spans="1:2" x14ac:dyDescent="0.25">
      <c r="A492" s="9" t="s">
        <v>6364</v>
      </c>
      <c r="B492" s="9" t="s">
        <v>2677</v>
      </c>
    </row>
    <row r="493" spans="1:2" x14ac:dyDescent="0.25">
      <c r="A493" s="9" t="s">
        <v>6363</v>
      </c>
      <c r="B493" s="9" t="s">
        <v>2678</v>
      </c>
    </row>
    <row r="494" spans="1:2" x14ac:dyDescent="0.25">
      <c r="A494" s="9" t="s">
        <v>6362</v>
      </c>
      <c r="B494" s="9" t="s">
        <v>2679</v>
      </c>
    </row>
    <row r="495" spans="1:2" x14ac:dyDescent="0.25">
      <c r="A495" s="9" t="s">
        <v>6361</v>
      </c>
      <c r="B495" s="9" t="s">
        <v>2680</v>
      </c>
    </row>
    <row r="496" spans="1:2" x14ac:dyDescent="0.25">
      <c r="A496" s="9" t="s">
        <v>6360</v>
      </c>
      <c r="B496" s="9" t="s">
        <v>2681</v>
      </c>
    </row>
    <row r="497" spans="1:2" x14ac:dyDescent="0.25">
      <c r="A497" s="9" t="s">
        <v>6359</v>
      </c>
      <c r="B497" s="9" t="s">
        <v>2682</v>
      </c>
    </row>
    <row r="498" spans="1:2" x14ac:dyDescent="0.25">
      <c r="A498" s="9" t="s">
        <v>6358</v>
      </c>
      <c r="B498" s="9" t="s">
        <v>2683</v>
      </c>
    </row>
    <row r="499" spans="1:2" x14ac:dyDescent="0.25">
      <c r="A499" s="9" t="s">
        <v>6357</v>
      </c>
      <c r="B499" s="9" t="s">
        <v>6356</v>
      </c>
    </row>
    <row r="500" spans="1:2" x14ac:dyDescent="0.25">
      <c r="A500" s="9" t="s">
        <v>6355</v>
      </c>
      <c r="B500" s="9" t="s">
        <v>2684</v>
      </c>
    </row>
    <row r="501" spans="1:2" x14ac:dyDescent="0.25">
      <c r="A501" s="9" t="s">
        <v>6354</v>
      </c>
      <c r="B501" s="9" t="s">
        <v>2685</v>
      </c>
    </row>
    <row r="502" spans="1:2" x14ac:dyDescent="0.25">
      <c r="A502" s="9" t="s">
        <v>6353</v>
      </c>
      <c r="B502" s="9" t="s">
        <v>2686</v>
      </c>
    </row>
    <row r="503" spans="1:2" x14ac:dyDescent="0.25">
      <c r="A503" s="9" t="s">
        <v>6352</v>
      </c>
      <c r="B503" s="9" t="s">
        <v>6351</v>
      </c>
    </row>
    <row r="504" spans="1:2" x14ac:dyDescent="0.25">
      <c r="A504" s="9" t="s">
        <v>6350</v>
      </c>
      <c r="B504" s="9" t="s">
        <v>2687</v>
      </c>
    </row>
    <row r="505" spans="1:2" x14ac:dyDescent="0.25">
      <c r="A505" s="9" t="s">
        <v>6349</v>
      </c>
      <c r="B505" s="9" t="s">
        <v>2688</v>
      </c>
    </row>
    <row r="506" spans="1:2" x14ac:dyDescent="0.25">
      <c r="A506" s="9" t="s">
        <v>6348</v>
      </c>
      <c r="B506" s="9" t="s">
        <v>2689</v>
      </c>
    </row>
    <row r="507" spans="1:2" x14ac:dyDescent="0.25">
      <c r="A507" s="9" t="s">
        <v>6347</v>
      </c>
      <c r="B507" s="9" t="s">
        <v>2690</v>
      </c>
    </row>
    <row r="508" spans="1:2" x14ac:dyDescent="0.25">
      <c r="A508" s="9" t="s">
        <v>6346</v>
      </c>
      <c r="B508" s="9" t="s">
        <v>2691</v>
      </c>
    </row>
    <row r="509" spans="1:2" x14ac:dyDescent="0.25">
      <c r="A509" s="9" t="s">
        <v>6345</v>
      </c>
      <c r="B509" s="9" t="s">
        <v>2692</v>
      </c>
    </row>
    <row r="510" spans="1:2" x14ac:dyDescent="0.25">
      <c r="A510" s="9" t="s">
        <v>6344</v>
      </c>
      <c r="B510" s="9" t="s">
        <v>2693</v>
      </c>
    </row>
    <row r="511" spans="1:2" x14ac:dyDescent="0.25">
      <c r="A511" s="9" t="s">
        <v>6343</v>
      </c>
      <c r="B511" s="9" t="s">
        <v>2694</v>
      </c>
    </row>
    <row r="512" spans="1:2" x14ac:dyDescent="0.25">
      <c r="A512" s="9" t="s">
        <v>6342</v>
      </c>
      <c r="B512" s="9" t="s">
        <v>2695</v>
      </c>
    </row>
    <row r="513" spans="1:2" x14ac:dyDescent="0.25">
      <c r="A513" s="9" t="s">
        <v>6341</v>
      </c>
      <c r="B513" s="9" t="s">
        <v>2696</v>
      </c>
    </row>
    <row r="514" spans="1:2" x14ac:dyDescent="0.25">
      <c r="A514" s="9" t="s">
        <v>6340</v>
      </c>
      <c r="B514" s="9" t="s">
        <v>6339</v>
      </c>
    </row>
    <row r="515" spans="1:2" x14ac:dyDescent="0.25">
      <c r="A515" s="9" t="s">
        <v>6338</v>
      </c>
      <c r="B515" s="9" t="s">
        <v>2697</v>
      </c>
    </row>
    <row r="516" spans="1:2" x14ac:dyDescent="0.25">
      <c r="A516" s="9" t="s">
        <v>6337</v>
      </c>
      <c r="B516" s="9" t="s">
        <v>2698</v>
      </c>
    </row>
    <row r="517" spans="1:2" x14ac:dyDescent="0.25">
      <c r="A517" s="9" t="s">
        <v>6336</v>
      </c>
      <c r="B517" s="9" t="s">
        <v>2699</v>
      </c>
    </row>
    <row r="518" spans="1:2" x14ac:dyDescent="0.25">
      <c r="A518" s="9" t="s">
        <v>6335</v>
      </c>
      <c r="B518" s="9" t="s">
        <v>6334</v>
      </c>
    </row>
    <row r="519" spans="1:2" x14ac:dyDescent="0.25">
      <c r="A519" s="9" t="s">
        <v>6333</v>
      </c>
      <c r="B519" s="9" t="s">
        <v>2700</v>
      </c>
    </row>
    <row r="520" spans="1:2" x14ac:dyDescent="0.25">
      <c r="A520" s="9" t="s">
        <v>6332</v>
      </c>
      <c r="B520" s="9" t="s">
        <v>2701</v>
      </c>
    </row>
    <row r="521" spans="1:2" x14ac:dyDescent="0.25">
      <c r="A521" s="9" t="s">
        <v>6331</v>
      </c>
      <c r="B521" s="9" t="s">
        <v>2702</v>
      </c>
    </row>
    <row r="522" spans="1:2" x14ac:dyDescent="0.25">
      <c r="A522" s="9" t="s">
        <v>6330</v>
      </c>
      <c r="B522" s="9" t="s">
        <v>2703</v>
      </c>
    </row>
    <row r="523" spans="1:2" x14ac:dyDescent="0.25">
      <c r="A523" s="9" t="s">
        <v>6329</v>
      </c>
      <c r="B523" s="9" t="s">
        <v>6328</v>
      </c>
    </row>
    <row r="524" spans="1:2" x14ac:dyDescent="0.25">
      <c r="A524" s="9" t="s">
        <v>6327</v>
      </c>
      <c r="B524" s="9" t="s">
        <v>2704</v>
      </c>
    </row>
    <row r="525" spans="1:2" x14ac:dyDescent="0.25">
      <c r="A525" s="9" t="s">
        <v>6326</v>
      </c>
      <c r="B525" s="9" t="s">
        <v>2705</v>
      </c>
    </row>
    <row r="526" spans="1:2" x14ac:dyDescent="0.25">
      <c r="A526" s="9" t="s">
        <v>6325</v>
      </c>
      <c r="B526" s="9" t="s">
        <v>2706</v>
      </c>
    </row>
    <row r="527" spans="1:2" x14ac:dyDescent="0.25">
      <c r="A527" s="9" t="s">
        <v>6324</v>
      </c>
      <c r="B527" s="9" t="s">
        <v>2707</v>
      </c>
    </row>
    <row r="528" spans="1:2" x14ac:dyDescent="0.25">
      <c r="A528" s="9" t="s">
        <v>6323</v>
      </c>
      <c r="B528" s="9" t="s">
        <v>2708</v>
      </c>
    </row>
    <row r="529" spans="1:2" x14ac:dyDescent="0.25">
      <c r="A529" s="9" t="s">
        <v>6322</v>
      </c>
      <c r="B529" s="9" t="s">
        <v>2709</v>
      </c>
    </row>
    <row r="530" spans="1:2" x14ac:dyDescent="0.25">
      <c r="A530" s="9" t="s">
        <v>6321</v>
      </c>
      <c r="B530" s="9" t="s">
        <v>2710</v>
      </c>
    </row>
    <row r="531" spans="1:2" x14ac:dyDescent="0.25">
      <c r="A531" s="9" t="s">
        <v>6320</v>
      </c>
      <c r="B531" s="9" t="s">
        <v>2711</v>
      </c>
    </row>
    <row r="532" spans="1:2" x14ac:dyDescent="0.25">
      <c r="A532" s="9" t="s">
        <v>6319</v>
      </c>
      <c r="B532" s="9" t="s">
        <v>2712</v>
      </c>
    </row>
    <row r="533" spans="1:2" x14ac:dyDescent="0.25">
      <c r="A533" s="9" t="s">
        <v>6318</v>
      </c>
      <c r="B533" s="9" t="s">
        <v>2713</v>
      </c>
    </row>
    <row r="534" spans="1:2" x14ac:dyDescent="0.25">
      <c r="A534" s="9" t="s">
        <v>6317</v>
      </c>
      <c r="B534" s="9" t="s">
        <v>2714</v>
      </c>
    </row>
    <row r="535" spans="1:2" x14ac:dyDescent="0.25">
      <c r="A535" s="9" t="s">
        <v>6316</v>
      </c>
      <c r="B535" s="9" t="s">
        <v>2715</v>
      </c>
    </row>
    <row r="536" spans="1:2" x14ac:dyDescent="0.25">
      <c r="A536" s="9" t="s">
        <v>6315</v>
      </c>
      <c r="B536" s="9" t="s">
        <v>2716</v>
      </c>
    </row>
    <row r="537" spans="1:2" x14ac:dyDescent="0.25">
      <c r="A537" s="9" t="s">
        <v>6314</v>
      </c>
      <c r="B537" s="9" t="s">
        <v>2717</v>
      </c>
    </row>
    <row r="538" spans="1:2" x14ac:dyDescent="0.25">
      <c r="A538" s="9" t="s">
        <v>6313</v>
      </c>
      <c r="B538" s="9" t="s">
        <v>2718</v>
      </c>
    </row>
    <row r="539" spans="1:2" x14ac:dyDescent="0.25">
      <c r="A539" s="9" t="s">
        <v>6312</v>
      </c>
      <c r="B539" s="9" t="s">
        <v>2719</v>
      </c>
    </row>
    <row r="540" spans="1:2" x14ac:dyDescent="0.25">
      <c r="A540" s="9" t="s">
        <v>6311</v>
      </c>
      <c r="B540" s="9" t="s">
        <v>2720</v>
      </c>
    </row>
    <row r="541" spans="1:2" x14ac:dyDescent="0.25">
      <c r="A541" s="9" t="s">
        <v>6310</v>
      </c>
      <c r="B541" s="9" t="s">
        <v>2721</v>
      </c>
    </row>
    <row r="542" spans="1:2" x14ac:dyDescent="0.25">
      <c r="A542" s="9" t="s">
        <v>6309</v>
      </c>
      <c r="B542" s="9" t="s">
        <v>2722</v>
      </c>
    </row>
    <row r="543" spans="1:2" x14ac:dyDescent="0.25">
      <c r="A543" s="9" t="s">
        <v>6308</v>
      </c>
      <c r="B543" s="9" t="s">
        <v>2723</v>
      </c>
    </row>
    <row r="544" spans="1:2" x14ac:dyDescent="0.25">
      <c r="A544" s="9" t="s">
        <v>6307</v>
      </c>
      <c r="B544" s="9" t="s">
        <v>2724</v>
      </c>
    </row>
    <row r="545" spans="1:2" x14ac:dyDescent="0.25">
      <c r="A545" s="9" t="s">
        <v>6306</v>
      </c>
      <c r="B545" s="9" t="s">
        <v>6305</v>
      </c>
    </row>
    <row r="546" spans="1:2" x14ac:dyDescent="0.25">
      <c r="A546" s="9" t="s">
        <v>6304</v>
      </c>
      <c r="B546" s="9" t="s">
        <v>2725</v>
      </c>
    </row>
    <row r="547" spans="1:2" x14ac:dyDescent="0.25">
      <c r="A547" s="9" t="s">
        <v>6303</v>
      </c>
      <c r="B547" s="9" t="s">
        <v>2726</v>
      </c>
    </row>
    <row r="548" spans="1:2" x14ac:dyDescent="0.25">
      <c r="A548" s="9" t="s">
        <v>6302</v>
      </c>
      <c r="B548" s="9" t="s">
        <v>2727</v>
      </c>
    </row>
    <row r="549" spans="1:2" x14ac:dyDescent="0.25">
      <c r="A549" s="9" t="s">
        <v>6301</v>
      </c>
      <c r="B549" s="9" t="s">
        <v>6300</v>
      </c>
    </row>
    <row r="550" spans="1:2" x14ac:dyDescent="0.25">
      <c r="A550" s="9" t="s">
        <v>6299</v>
      </c>
      <c r="B550" s="9" t="s">
        <v>2728</v>
      </c>
    </row>
    <row r="551" spans="1:2" x14ac:dyDescent="0.25">
      <c r="A551" s="9" t="s">
        <v>6298</v>
      </c>
      <c r="B551" s="9" t="s">
        <v>2729</v>
      </c>
    </row>
    <row r="552" spans="1:2" x14ac:dyDescent="0.25">
      <c r="A552" s="9" t="s">
        <v>6297</v>
      </c>
      <c r="B552" s="9" t="s">
        <v>2730</v>
      </c>
    </row>
    <row r="553" spans="1:2" x14ac:dyDescent="0.25">
      <c r="A553" s="9" t="s">
        <v>6296</v>
      </c>
      <c r="B553" s="9" t="s">
        <v>2731</v>
      </c>
    </row>
    <row r="554" spans="1:2" x14ac:dyDescent="0.25">
      <c r="A554" s="9" t="s">
        <v>6295</v>
      </c>
      <c r="B554" s="9" t="s">
        <v>2732</v>
      </c>
    </row>
    <row r="555" spans="1:2" x14ac:dyDescent="0.25">
      <c r="A555" s="9" t="s">
        <v>6294</v>
      </c>
      <c r="B555" s="9" t="s">
        <v>2733</v>
      </c>
    </row>
    <row r="556" spans="1:2" x14ac:dyDescent="0.25">
      <c r="A556" s="9" t="s">
        <v>6293</v>
      </c>
      <c r="B556" s="9" t="s">
        <v>2734</v>
      </c>
    </row>
    <row r="557" spans="1:2" x14ac:dyDescent="0.25">
      <c r="A557" s="9" t="s">
        <v>6292</v>
      </c>
      <c r="B557" s="9" t="s">
        <v>2735</v>
      </c>
    </row>
    <row r="558" spans="1:2" x14ac:dyDescent="0.25">
      <c r="A558" s="9" t="s">
        <v>6291</v>
      </c>
      <c r="B558" s="9" t="s">
        <v>2736</v>
      </c>
    </row>
    <row r="559" spans="1:2" x14ac:dyDescent="0.25">
      <c r="A559" s="9" t="s">
        <v>6290</v>
      </c>
      <c r="B559" s="9" t="s">
        <v>2737</v>
      </c>
    </row>
    <row r="560" spans="1:2" x14ac:dyDescent="0.25">
      <c r="A560" s="9" t="s">
        <v>6289</v>
      </c>
      <c r="B560" s="9" t="s">
        <v>6288</v>
      </c>
    </row>
    <row r="561" spans="1:2" x14ac:dyDescent="0.25">
      <c r="A561" s="9" t="s">
        <v>6287</v>
      </c>
      <c r="B561" s="9" t="s">
        <v>2738</v>
      </c>
    </row>
    <row r="562" spans="1:2" x14ac:dyDescent="0.25">
      <c r="A562" s="9" t="s">
        <v>6286</v>
      </c>
      <c r="B562" s="9" t="s">
        <v>2739</v>
      </c>
    </row>
    <row r="563" spans="1:2" x14ac:dyDescent="0.25">
      <c r="A563" s="9" t="s">
        <v>6285</v>
      </c>
      <c r="B563" s="9" t="s">
        <v>2740</v>
      </c>
    </row>
    <row r="564" spans="1:2" x14ac:dyDescent="0.25">
      <c r="A564" s="9" t="s">
        <v>6284</v>
      </c>
      <c r="B564" s="9" t="s">
        <v>2741</v>
      </c>
    </row>
    <row r="565" spans="1:2" x14ac:dyDescent="0.25">
      <c r="A565" s="9" t="s">
        <v>6283</v>
      </c>
      <c r="B565" s="9" t="s">
        <v>6282</v>
      </c>
    </row>
    <row r="566" spans="1:2" x14ac:dyDescent="0.25">
      <c r="A566" s="9" t="s">
        <v>6281</v>
      </c>
      <c r="B566" s="9" t="s">
        <v>2742</v>
      </c>
    </row>
    <row r="567" spans="1:2" x14ac:dyDescent="0.25">
      <c r="A567" s="9" t="s">
        <v>6280</v>
      </c>
      <c r="B567" s="9" t="s">
        <v>2743</v>
      </c>
    </row>
    <row r="568" spans="1:2" x14ac:dyDescent="0.25">
      <c r="A568" s="9" t="s">
        <v>6279</v>
      </c>
      <c r="B568" s="9" t="s">
        <v>2744</v>
      </c>
    </row>
    <row r="569" spans="1:2" x14ac:dyDescent="0.25">
      <c r="A569" s="9" t="s">
        <v>6278</v>
      </c>
      <c r="B569" s="9" t="s">
        <v>2745</v>
      </c>
    </row>
    <row r="570" spans="1:2" x14ac:dyDescent="0.25">
      <c r="A570" s="9" t="s">
        <v>6277</v>
      </c>
      <c r="B570" s="9" t="s">
        <v>2746</v>
      </c>
    </row>
    <row r="571" spans="1:2" x14ac:dyDescent="0.25">
      <c r="A571" s="9" t="s">
        <v>6276</v>
      </c>
      <c r="B571" s="9" t="s">
        <v>2747</v>
      </c>
    </row>
    <row r="572" spans="1:2" x14ac:dyDescent="0.25">
      <c r="A572" s="9" t="s">
        <v>6275</v>
      </c>
      <c r="B572" s="9" t="s">
        <v>2748</v>
      </c>
    </row>
    <row r="573" spans="1:2" x14ac:dyDescent="0.25">
      <c r="A573" s="9" t="s">
        <v>6274</v>
      </c>
      <c r="B573" s="9" t="s">
        <v>2749</v>
      </c>
    </row>
    <row r="574" spans="1:2" x14ac:dyDescent="0.25">
      <c r="A574" s="9" t="s">
        <v>6273</v>
      </c>
      <c r="B574" s="9" t="s">
        <v>2750</v>
      </c>
    </row>
    <row r="575" spans="1:2" x14ac:dyDescent="0.25">
      <c r="A575" s="9" t="s">
        <v>6272</v>
      </c>
      <c r="B575" s="9" t="s">
        <v>2751</v>
      </c>
    </row>
    <row r="576" spans="1:2" x14ac:dyDescent="0.25">
      <c r="A576" s="9" t="s">
        <v>6271</v>
      </c>
      <c r="B576" s="9" t="s">
        <v>6270</v>
      </c>
    </row>
    <row r="577" spans="1:2" x14ac:dyDescent="0.25">
      <c r="A577" s="9" t="s">
        <v>6269</v>
      </c>
      <c r="B577" s="9" t="s">
        <v>2752</v>
      </c>
    </row>
    <row r="578" spans="1:2" x14ac:dyDescent="0.25">
      <c r="A578" s="9" t="s">
        <v>6268</v>
      </c>
      <c r="B578" s="9" t="s">
        <v>2753</v>
      </c>
    </row>
    <row r="579" spans="1:2" x14ac:dyDescent="0.25">
      <c r="A579" s="9" t="s">
        <v>6267</v>
      </c>
      <c r="B579" s="9" t="s">
        <v>2754</v>
      </c>
    </row>
    <row r="580" spans="1:2" x14ac:dyDescent="0.25">
      <c r="A580" s="9" t="s">
        <v>6266</v>
      </c>
      <c r="B580" s="9" t="s">
        <v>2755</v>
      </c>
    </row>
    <row r="581" spans="1:2" x14ac:dyDescent="0.25">
      <c r="A581" s="9" t="s">
        <v>6265</v>
      </c>
      <c r="B581" s="9" t="s">
        <v>6264</v>
      </c>
    </row>
    <row r="582" spans="1:2" x14ac:dyDescent="0.25">
      <c r="A582" s="9" t="s">
        <v>6263</v>
      </c>
      <c r="B582" s="9" t="s">
        <v>2756</v>
      </c>
    </row>
    <row r="583" spans="1:2" x14ac:dyDescent="0.25">
      <c r="A583" s="9" t="s">
        <v>6262</v>
      </c>
      <c r="B583" s="9" t="s">
        <v>2757</v>
      </c>
    </row>
    <row r="584" spans="1:2" x14ac:dyDescent="0.25">
      <c r="A584" s="9" t="s">
        <v>6261</v>
      </c>
      <c r="B584" s="9" t="s">
        <v>2758</v>
      </c>
    </row>
    <row r="585" spans="1:2" x14ac:dyDescent="0.25">
      <c r="A585" s="9" t="s">
        <v>6260</v>
      </c>
      <c r="B585" s="9" t="s">
        <v>2759</v>
      </c>
    </row>
    <row r="586" spans="1:2" x14ac:dyDescent="0.25">
      <c r="A586" s="9" t="s">
        <v>6259</v>
      </c>
      <c r="B586" s="9" t="s">
        <v>2760</v>
      </c>
    </row>
    <row r="587" spans="1:2" x14ac:dyDescent="0.25">
      <c r="A587" s="9" t="s">
        <v>6258</v>
      </c>
      <c r="B587" s="9" t="s">
        <v>2761</v>
      </c>
    </row>
    <row r="588" spans="1:2" x14ac:dyDescent="0.25">
      <c r="A588" s="9" t="s">
        <v>6257</v>
      </c>
      <c r="B588" s="9" t="s">
        <v>2762</v>
      </c>
    </row>
    <row r="589" spans="1:2" x14ac:dyDescent="0.25">
      <c r="A589" s="9" t="s">
        <v>6256</v>
      </c>
      <c r="B589" s="9" t="s">
        <v>2763</v>
      </c>
    </row>
    <row r="590" spans="1:2" x14ac:dyDescent="0.25">
      <c r="A590" s="9" t="s">
        <v>6255</v>
      </c>
      <c r="B590" s="9" t="s">
        <v>2764</v>
      </c>
    </row>
    <row r="591" spans="1:2" x14ac:dyDescent="0.25">
      <c r="A591" s="9" t="s">
        <v>6254</v>
      </c>
      <c r="B591" s="9" t="s">
        <v>2765</v>
      </c>
    </row>
    <row r="592" spans="1:2" x14ac:dyDescent="0.25">
      <c r="A592" s="9" t="s">
        <v>6253</v>
      </c>
      <c r="B592" s="9" t="s">
        <v>6252</v>
      </c>
    </row>
    <row r="593" spans="1:2" x14ac:dyDescent="0.25">
      <c r="A593" s="9" t="s">
        <v>6251</v>
      </c>
      <c r="B593" s="9" t="s">
        <v>2766</v>
      </c>
    </row>
    <row r="594" spans="1:2" x14ac:dyDescent="0.25">
      <c r="A594" s="9" t="s">
        <v>6250</v>
      </c>
      <c r="B594" s="9" t="s">
        <v>2767</v>
      </c>
    </row>
    <row r="595" spans="1:2" x14ac:dyDescent="0.25">
      <c r="A595" s="9" t="s">
        <v>6249</v>
      </c>
      <c r="B595" s="9" t="s">
        <v>2768</v>
      </c>
    </row>
    <row r="596" spans="1:2" x14ac:dyDescent="0.25">
      <c r="A596" s="9" t="s">
        <v>6248</v>
      </c>
      <c r="B596" s="9" t="s">
        <v>6247</v>
      </c>
    </row>
    <row r="597" spans="1:2" x14ac:dyDescent="0.25">
      <c r="A597" s="9" t="s">
        <v>6246</v>
      </c>
      <c r="B597" s="9" t="s">
        <v>2769</v>
      </c>
    </row>
    <row r="598" spans="1:2" x14ac:dyDescent="0.25">
      <c r="A598" s="9" t="s">
        <v>6245</v>
      </c>
      <c r="B598" s="9" t="s">
        <v>2770</v>
      </c>
    </row>
    <row r="599" spans="1:2" x14ac:dyDescent="0.25">
      <c r="A599" s="9" t="s">
        <v>6244</v>
      </c>
      <c r="B599" s="9" t="s">
        <v>2771</v>
      </c>
    </row>
    <row r="600" spans="1:2" x14ac:dyDescent="0.25">
      <c r="A600" s="9" t="s">
        <v>6243</v>
      </c>
      <c r="B600" s="9" t="s">
        <v>2772</v>
      </c>
    </row>
    <row r="601" spans="1:2" x14ac:dyDescent="0.25">
      <c r="A601" s="9" t="s">
        <v>6242</v>
      </c>
      <c r="B601" s="9" t="s">
        <v>2773</v>
      </c>
    </row>
    <row r="602" spans="1:2" x14ac:dyDescent="0.25">
      <c r="A602" s="9" t="s">
        <v>6241</v>
      </c>
      <c r="B602" s="9" t="s">
        <v>2774</v>
      </c>
    </row>
    <row r="603" spans="1:2" x14ac:dyDescent="0.25">
      <c r="A603" s="9" t="s">
        <v>6240</v>
      </c>
      <c r="B603" s="9" t="s">
        <v>2775</v>
      </c>
    </row>
    <row r="604" spans="1:2" x14ac:dyDescent="0.25">
      <c r="A604" s="9" t="s">
        <v>6239</v>
      </c>
      <c r="B604" s="9" t="s">
        <v>2776</v>
      </c>
    </row>
    <row r="605" spans="1:2" x14ac:dyDescent="0.25">
      <c r="A605" s="9" t="s">
        <v>6238</v>
      </c>
      <c r="B605" s="9" t="s">
        <v>2777</v>
      </c>
    </row>
    <row r="606" spans="1:2" x14ac:dyDescent="0.25">
      <c r="A606" s="9" t="s">
        <v>6237</v>
      </c>
      <c r="B606" s="9" t="s">
        <v>2778</v>
      </c>
    </row>
    <row r="607" spans="1:2" x14ac:dyDescent="0.25">
      <c r="A607" s="9" t="s">
        <v>6236</v>
      </c>
      <c r="B607" s="9" t="s">
        <v>6235</v>
      </c>
    </row>
    <row r="608" spans="1:2" x14ac:dyDescent="0.25">
      <c r="A608" s="9" t="s">
        <v>6234</v>
      </c>
      <c r="B608" s="9" t="s">
        <v>2779</v>
      </c>
    </row>
    <row r="609" spans="1:2" x14ac:dyDescent="0.25">
      <c r="A609" s="9" t="s">
        <v>6233</v>
      </c>
      <c r="B609" s="9" t="s">
        <v>2780</v>
      </c>
    </row>
    <row r="610" spans="1:2" x14ac:dyDescent="0.25">
      <c r="A610" s="9" t="s">
        <v>6232</v>
      </c>
      <c r="B610" s="9" t="s">
        <v>2781</v>
      </c>
    </row>
    <row r="611" spans="1:2" x14ac:dyDescent="0.25">
      <c r="A611" s="9" t="s">
        <v>6231</v>
      </c>
      <c r="B611" s="9" t="s">
        <v>6230</v>
      </c>
    </row>
    <row r="612" spans="1:2" x14ac:dyDescent="0.25">
      <c r="A612" s="9" t="s">
        <v>6229</v>
      </c>
      <c r="B612" s="9" t="s">
        <v>2782</v>
      </c>
    </row>
    <row r="613" spans="1:2" x14ac:dyDescent="0.25">
      <c r="A613" s="9" t="s">
        <v>6228</v>
      </c>
      <c r="B613" s="9" t="s">
        <v>2783</v>
      </c>
    </row>
    <row r="614" spans="1:2" x14ac:dyDescent="0.25">
      <c r="A614" s="9" t="s">
        <v>6227</v>
      </c>
      <c r="B614" s="9" t="s">
        <v>2784</v>
      </c>
    </row>
    <row r="615" spans="1:2" x14ac:dyDescent="0.25">
      <c r="A615" s="9" t="s">
        <v>6226</v>
      </c>
      <c r="B615" s="9" t="s">
        <v>2785</v>
      </c>
    </row>
    <row r="616" spans="1:2" x14ac:dyDescent="0.25">
      <c r="A616" s="9" t="s">
        <v>6225</v>
      </c>
      <c r="B616" s="9" t="s">
        <v>2786</v>
      </c>
    </row>
    <row r="617" spans="1:2" x14ac:dyDescent="0.25">
      <c r="A617" s="9" t="s">
        <v>6224</v>
      </c>
      <c r="B617" s="9" t="s">
        <v>2787</v>
      </c>
    </row>
    <row r="618" spans="1:2" x14ac:dyDescent="0.25">
      <c r="A618" s="9" t="s">
        <v>6223</v>
      </c>
      <c r="B618" s="9" t="s">
        <v>2788</v>
      </c>
    </row>
    <row r="619" spans="1:2" x14ac:dyDescent="0.25">
      <c r="A619" s="9" t="s">
        <v>6222</v>
      </c>
      <c r="B619" s="9" t="s">
        <v>2789</v>
      </c>
    </row>
    <row r="620" spans="1:2" x14ac:dyDescent="0.25">
      <c r="A620" s="9" t="s">
        <v>6221</v>
      </c>
      <c r="B620" s="9" t="s">
        <v>2790</v>
      </c>
    </row>
    <row r="621" spans="1:2" x14ac:dyDescent="0.25">
      <c r="A621" s="9" t="s">
        <v>6220</v>
      </c>
      <c r="B621" s="9" t="s">
        <v>2791</v>
      </c>
    </row>
    <row r="622" spans="1:2" x14ac:dyDescent="0.25">
      <c r="A622" s="9" t="s">
        <v>6219</v>
      </c>
      <c r="B622" s="9" t="s">
        <v>6218</v>
      </c>
    </row>
    <row r="623" spans="1:2" x14ac:dyDescent="0.25">
      <c r="A623" s="9" t="s">
        <v>6217</v>
      </c>
      <c r="B623" s="9" t="s">
        <v>2792</v>
      </c>
    </row>
    <row r="624" spans="1:2" x14ac:dyDescent="0.25">
      <c r="A624" s="9" t="s">
        <v>6216</v>
      </c>
      <c r="B624" s="9" t="s">
        <v>2793</v>
      </c>
    </row>
    <row r="625" spans="1:2" x14ac:dyDescent="0.25">
      <c r="A625" s="9" t="s">
        <v>6215</v>
      </c>
      <c r="B625" s="9" t="s">
        <v>2794</v>
      </c>
    </row>
    <row r="626" spans="1:2" x14ac:dyDescent="0.25">
      <c r="A626" s="9" t="s">
        <v>6214</v>
      </c>
      <c r="B626" s="9" t="s">
        <v>2795</v>
      </c>
    </row>
    <row r="627" spans="1:2" x14ac:dyDescent="0.25">
      <c r="A627" s="9" t="s">
        <v>6213</v>
      </c>
      <c r="B627" s="9" t="s">
        <v>6212</v>
      </c>
    </row>
    <row r="628" spans="1:2" x14ac:dyDescent="0.25">
      <c r="A628" s="9" t="s">
        <v>6211</v>
      </c>
      <c r="B628" s="9" t="s">
        <v>2796</v>
      </c>
    </row>
    <row r="629" spans="1:2" x14ac:dyDescent="0.25">
      <c r="A629" s="9" t="s">
        <v>6210</v>
      </c>
      <c r="B629" s="9" t="s">
        <v>2797</v>
      </c>
    </row>
    <row r="630" spans="1:2" x14ac:dyDescent="0.25">
      <c r="A630" s="9" t="s">
        <v>6209</v>
      </c>
      <c r="B630" s="9" t="s">
        <v>2798</v>
      </c>
    </row>
    <row r="631" spans="1:2" x14ac:dyDescent="0.25">
      <c r="A631" s="9" t="s">
        <v>6208</v>
      </c>
      <c r="B631" s="9" t="s">
        <v>2799</v>
      </c>
    </row>
    <row r="632" spans="1:2" x14ac:dyDescent="0.25">
      <c r="A632" s="9" t="s">
        <v>6207</v>
      </c>
      <c r="B632" s="9" t="s">
        <v>2800</v>
      </c>
    </row>
    <row r="633" spans="1:2" x14ac:dyDescent="0.25">
      <c r="A633" s="9" t="s">
        <v>6206</v>
      </c>
      <c r="B633" s="9" t="s">
        <v>2801</v>
      </c>
    </row>
    <row r="634" spans="1:2" x14ac:dyDescent="0.25">
      <c r="A634" s="9" t="s">
        <v>6205</v>
      </c>
      <c r="B634" s="9" t="s">
        <v>2802</v>
      </c>
    </row>
    <row r="635" spans="1:2" x14ac:dyDescent="0.25">
      <c r="A635" s="9" t="s">
        <v>6204</v>
      </c>
      <c r="B635" s="9" t="s">
        <v>2803</v>
      </c>
    </row>
    <row r="636" spans="1:2" x14ac:dyDescent="0.25">
      <c r="A636" s="9" t="s">
        <v>6203</v>
      </c>
      <c r="B636" s="9" t="s">
        <v>2804</v>
      </c>
    </row>
    <row r="637" spans="1:2" x14ac:dyDescent="0.25">
      <c r="A637" s="9" t="s">
        <v>6202</v>
      </c>
      <c r="B637" s="9" t="s">
        <v>2805</v>
      </c>
    </row>
    <row r="638" spans="1:2" x14ac:dyDescent="0.25">
      <c r="A638" s="9" t="s">
        <v>6201</v>
      </c>
      <c r="B638" s="9" t="s">
        <v>6200</v>
      </c>
    </row>
    <row r="639" spans="1:2" x14ac:dyDescent="0.25">
      <c r="A639" s="9" t="s">
        <v>6199</v>
      </c>
      <c r="B639" s="9" t="s">
        <v>2806</v>
      </c>
    </row>
    <row r="640" spans="1:2" x14ac:dyDescent="0.25">
      <c r="A640" s="9" t="s">
        <v>6198</v>
      </c>
      <c r="B640" s="9" t="s">
        <v>2807</v>
      </c>
    </row>
    <row r="641" spans="1:2" x14ac:dyDescent="0.25">
      <c r="A641" s="9" t="s">
        <v>6197</v>
      </c>
      <c r="B641" s="9" t="s">
        <v>2808</v>
      </c>
    </row>
    <row r="642" spans="1:2" x14ac:dyDescent="0.25">
      <c r="A642" s="9" t="s">
        <v>6196</v>
      </c>
      <c r="B642" s="9" t="s">
        <v>2809</v>
      </c>
    </row>
    <row r="643" spans="1:2" x14ac:dyDescent="0.25">
      <c r="A643" s="9" t="s">
        <v>6195</v>
      </c>
      <c r="B643" s="9" t="s">
        <v>6194</v>
      </c>
    </row>
    <row r="644" spans="1:2" x14ac:dyDescent="0.25">
      <c r="A644" s="9" t="s">
        <v>6193</v>
      </c>
      <c r="B644" s="9" t="s">
        <v>2810</v>
      </c>
    </row>
    <row r="645" spans="1:2" x14ac:dyDescent="0.25">
      <c r="A645" s="9" t="s">
        <v>6192</v>
      </c>
      <c r="B645" s="9" t="s">
        <v>2811</v>
      </c>
    </row>
    <row r="646" spans="1:2" x14ac:dyDescent="0.25">
      <c r="A646" s="9" t="s">
        <v>6191</v>
      </c>
      <c r="B646" s="9" t="s">
        <v>2812</v>
      </c>
    </row>
    <row r="647" spans="1:2" x14ac:dyDescent="0.25">
      <c r="A647" s="9" t="s">
        <v>6190</v>
      </c>
      <c r="B647" s="9" t="s">
        <v>2813</v>
      </c>
    </row>
    <row r="648" spans="1:2" x14ac:dyDescent="0.25">
      <c r="A648" s="9" t="s">
        <v>6189</v>
      </c>
      <c r="B648" s="9" t="s">
        <v>2814</v>
      </c>
    </row>
    <row r="649" spans="1:2" x14ac:dyDescent="0.25">
      <c r="A649" s="9" t="s">
        <v>6188</v>
      </c>
      <c r="B649" s="9" t="s">
        <v>2815</v>
      </c>
    </row>
    <row r="650" spans="1:2" x14ac:dyDescent="0.25">
      <c r="A650" s="9" t="s">
        <v>6187</v>
      </c>
      <c r="B650" s="9" t="s">
        <v>2816</v>
      </c>
    </row>
    <row r="651" spans="1:2" x14ac:dyDescent="0.25">
      <c r="A651" s="9" t="s">
        <v>6186</v>
      </c>
      <c r="B651" s="9" t="s">
        <v>2817</v>
      </c>
    </row>
    <row r="652" spans="1:2" x14ac:dyDescent="0.25">
      <c r="A652" s="9" t="s">
        <v>6185</v>
      </c>
      <c r="B652" s="9" t="s">
        <v>2818</v>
      </c>
    </row>
    <row r="653" spans="1:2" x14ac:dyDescent="0.25">
      <c r="A653" s="9" t="s">
        <v>6184</v>
      </c>
      <c r="B653" s="9" t="s">
        <v>2819</v>
      </c>
    </row>
    <row r="654" spans="1:2" x14ac:dyDescent="0.25">
      <c r="A654" s="9" t="s">
        <v>6183</v>
      </c>
      <c r="B654" s="9" t="s">
        <v>2820</v>
      </c>
    </row>
    <row r="655" spans="1:2" x14ac:dyDescent="0.25">
      <c r="A655" s="9" t="s">
        <v>6182</v>
      </c>
      <c r="B655" s="9" t="s">
        <v>2821</v>
      </c>
    </row>
    <row r="656" spans="1:2" x14ac:dyDescent="0.25">
      <c r="A656" s="9" t="s">
        <v>6181</v>
      </c>
      <c r="B656" s="9" t="s">
        <v>2822</v>
      </c>
    </row>
    <row r="657" spans="1:2" x14ac:dyDescent="0.25">
      <c r="A657" s="9" t="s">
        <v>6180</v>
      </c>
      <c r="B657" s="9" t="s">
        <v>2823</v>
      </c>
    </row>
    <row r="658" spans="1:2" x14ac:dyDescent="0.25">
      <c r="A658" s="9" t="s">
        <v>6179</v>
      </c>
      <c r="B658" s="9" t="s">
        <v>2824</v>
      </c>
    </row>
    <row r="659" spans="1:2" x14ac:dyDescent="0.25">
      <c r="A659" s="9" t="s">
        <v>6178</v>
      </c>
      <c r="B659" s="9" t="s">
        <v>2825</v>
      </c>
    </row>
    <row r="660" spans="1:2" x14ac:dyDescent="0.25">
      <c r="A660" s="9" t="s">
        <v>6177</v>
      </c>
      <c r="B660" s="9" t="s">
        <v>2826</v>
      </c>
    </row>
    <row r="661" spans="1:2" x14ac:dyDescent="0.25">
      <c r="A661" s="9" t="s">
        <v>6176</v>
      </c>
      <c r="B661" s="9" t="s">
        <v>2827</v>
      </c>
    </row>
    <row r="662" spans="1:2" x14ac:dyDescent="0.25">
      <c r="A662" s="9" t="s">
        <v>6175</v>
      </c>
      <c r="B662" s="9" t="s">
        <v>2828</v>
      </c>
    </row>
    <row r="663" spans="1:2" x14ac:dyDescent="0.25">
      <c r="A663" s="9" t="s">
        <v>6174</v>
      </c>
      <c r="B663" s="9" t="s">
        <v>2829</v>
      </c>
    </row>
    <row r="664" spans="1:2" x14ac:dyDescent="0.25">
      <c r="A664" s="9" t="s">
        <v>6173</v>
      </c>
      <c r="B664" s="9" t="s">
        <v>2830</v>
      </c>
    </row>
    <row r="665" spans="1:2" x14ac:dyDescent="0.25">
      <c r="A665" s="9" t="s">
        <v>6172</v>
      </c>
      <c r="B665" s="9" t="s">
        <v>2831</v>
      </c>
    </row>
    <row r="666" spans="1:2" x14ac:dyDescent="0.25">
      <c r="A666" s="9" t="s">
        <v>6171</v>
      </c>
      <c r="B666" s="9" t="s">
        <v>2832</v>
      </c>
    </row>
    <row r="667" spans="1:2" x14ac:dyDescent="0.25">
      <c r="A667" s="9" t="s">
        <v>6170</v>
      </c>
      <c r="B667" s="9" t="s">
        <v>2833</v>
      </c>
    </row>
    <row r="668" spans="1:2" x14ac:dyDescent="0.25">
      <c r="A668" s="9" t="s">
        <v>6169</v>
      </c>
      <c r="B668" s="9" t="s">
        <v>2834</v>
      </c>
    </row>
    <row r="669" spans="1:2" x14ac:dyDescent="0.25">
      <c r="A669" s="9" t="s">
        <v>6168</v>
      </c>
      <c r="B669" s="9" t="s">
        <v>2835</v>
      </c>
    </row>
    <row r="670" spans="1:2" x14ac:dyDescent="0.25">
      <c r="A670" s="9" t="s">
        <v>6167</v>
      </c>
      <c r="B670" s="9" t="s">
        <v>2836</v>
      </c>
    </row>
    <row r="671" spans="1:2" x14ac:dyDescent="0.25">
      <c r="A671" s="9" t="s">
        <v>6166</v>
      </c>
      <c r="B671" s="9" t="s">
        <v>2837</v>
      </c>
    </row>
    <row r="672" spans="1:2" x14ac:dyDescent="0.25">
      <c r="A672" s="9" t="s">
        <v>6165</v>
      </c>
      <c r="B672" s="9" t="s">
        <v>2838</v>
      </c>
    </row>
    <row r="673" spans="1:2" x14ac:dyDescent="0.25">
      <c r="A673" s="9" t="s">
        <v>6164</v>
      </c>
      <c r="B673" s="9" t="s">
        <v>2839</v>
      </c>
    </row>
    <row r="674" spans="1:2" x14ac:dyDescent="0.25">
      <c r="A674" s="9" t="s">
        <v>6163</v>
      </c>
      <c r="B674" s="9" t="s">
        <v>2840</v>
      </c>
    </row>
    <row r="675" spans="1:2" x14ac:dyDescent="0.25">
      <c r="A675" s="9" t="s">
        <v>6162</v>
      </c>
      <c r="B675" s="9" t="s">
        <v>6161</v>
      </c>
    </row>
    <row r="676" spans="1:2" x14ac:dyDescent="0.25">
      <c r="A676" s="9" t="s">
        <v>6160</v>
      </c>
      <c r="B676" s="9" t="s">
        <v>6159</v>
      </c>
    </row>
    <row r="677" spans="1:2" x14ac:dyDescent="0.25">
      <c r="A677" s="9" t="s">
        <v>6158</v>
      </c>
      <c r="B677" s="9" t="s">
        <v>6157</v>
      </c>
    </row>
    <row r="678" spans="1:2" x14ac:dyDescent="0.25">
      <c r="A678" s="9" t="s">
        <v>6156</v>
      </c>
      <c r="B678" s="9" t="s">
        <v>6155</v>
      </c>
    </row>
    <row r="679" spans="1:2" x14ac:dyDescent="0.25">
      <c r="A679" s="9" t="s">
        <v>6154</v>
      </c>
      <c r="B679" s="9" t="s">
        <v>6153</v>
      </c>
    </row>
    <row r="680" spans="1:2" x14ac:dyDescent="0.25">
      <c r="A680" s="9" t="s">
        <v>6152</v>
      </c>
      <c r="B680" s="9" t="s">
        <v>6151</v>
      </c>
    </row>
    <row r="681" spans="1:2" x14ac:dyDescent="0.25">
      <c r="A681" s="9" t="s">
        <v>6150</v>
      </c>
      <c r="B681" s="9" t="s">
        <v>6149</v>
      </c>
    </row>
    <row r="682" spans="1:2" x14ac:dyDescent="0.25">
      <c r="A682" s="9" t="s">
        <v>6148</v>
      </c>
      <c r="B682" s="9" t="s">
        <v>6147</v>
      </c>
    </row>
    <row r="683" spans="1:2" x14ac:dyDescent="0.25">
      <c r="A683" s="9" t="s">
        <v>6146</v>
      </c>
      <c r="B683" s="9" t="s">
        <v>6145</v>
      </c>
    </row>
    <row r="684" spans="1:2" x14ac:dyDescent="0.25">
      <c r="A684" s="9" t="s">
        <v>6144</v>
      </c>
      <c r="B684" s="9" t="s">
        <v>6143</v>
      </c>
    </row>
    <row r="685" spans="1:2" x14ac:dyDescent="0.25">
      <c r="A685" s="9" t="s">
        <v>6142</v>
      </c>
      <c r="B685" s="9" t="s">
        <v>6141</v>
      </c>
    </row>
    <row r="686" spans="1:2" x14ac:dyDescent="0.25">
      <c r="A686" s="9" t="s">
        <v>6140</v>
      </c>
      <c r="B686" s="9" t="s">
        <v>6139</v>
      </c>
    </row>
    <row r="687" spans="1:2" x14ac:dyDescent="0.25">
      <c r="A687" s="9" t="s">
        <v>6138</v>
      </c>
      <c r="B687" s="9" t="s">
        <v>6137</v>
      </c>
    </row>
    <row r="688" spans="1:2" x14ac:dyDescent="0.25">
      <c r="A688" s="9" t="s">
        <v>6136</v>
      </c>
      <c r="B688" s="9" t="s">
        <v>6135</v>
      </c>
    </row>
    <row r="689" spans="1:2" x14ac:dyDescent="0.25">
      <c r="A689" s="9" t="s">
        <v>6134</v>
      </c>
      <c r="B689" s="9" t="s">
        <v>6133</v>
      </c>
    </row>
    <row r="690" spans="1:2" x14ac:dyDescent="0.25">
      <c r="A690" s="9" t="s">
        <v>6132</v>
      </c>
      <c r="B690" s="9" t="s">
        <v>6131</v>
      </c>
    </row>
    <row r="691" spans="1:2" x14ac:dyDescent="0.25">
      <c r="A691" s="9" t="s">
        <v>6130</v>
      </c>
      <c r="B691" s="9" t="s">
        <v>6129</v>
      </c>
    </row>
    <row r="692" spans="1:2" x14ac:dyDescent="0.25">
      <c r="A692" s="9" t="s">
        <v>6128</v>
      </c>
      <c r="B692" s="9" t="s">
        <v>6127</v>
      </c>
    </row>
    <row r="693" spans="1:2" x14ac:dyDescent="0.25">
      <c r="A693" s="9" t="s">
        <v>6126</v>
      </c>
      <c r="B693" s="9" t="s">
        <v>2841</v>
      </c>
    </row>
    <row r="694" spans="1:2" x14ac:dyDescent="0.25">
      <c r="A694" s="9" t="s">
        <v>6125</v>
      </c>
      <c r="B694" s="9" t="s">
        <v>2842</v>
      </c>
    </row>
    <row r="695" spans="1:2" x14ac:dyDescent="0.25">
      <c r="A695" s="9" t="s">
        <v>6124</v>
      </c>
      <c r="B695" s="9" t="s">
        <v>2843</v>
      </c>
    </row>
    <row r="696" spans="1:2" x14ac:dyDescent="0.25">
      <c r="A696" s="9" t="s">
        <v>6123</v>
      </c>
      <c r="B696" s="9" t="s">
        <v>2844</v>
      </c>
    </row>
    <row r="697" spans="1:2" x14ac:dyDescent="0.25">
      <c r="A697" s="9" t="s">
        <v>6122</v>
      </c>
      <c r="B697" s="9" t="s">
        <v>2845</v>
      </c>
    </row>
    <row r="698" spans="1:2" x14ac:dyDescent="0.25">
      <c r="A698" s="9" t="s">
        <v>6121</v>
      </c>
      <c r="B698" s="9" t="s">
        <v>2846</v>
      </c>
    </row>
    <row r="699" spans="1:2" x14ac:dyDescent="0.25">
      <c r="A699" s="9" t="s">
        <v>6120</v>
      </c>
      <c r="B699" s="9" t="s">
        <v>2847</v>
      </c>
    </row>
    <row r="700" spans="1:2" x14ac:dyDescent="0.25">
      <c r="A700" s="9" t="s">
        <v>6119</v>
      </c>
      <c r="B700" s="9" t="s">
        <v>2848</v>
      </c>
    </row>
    <row r="701" spans="1:2" x14ac:dyDescent="0.25">
      <c r="A701" s="9" t="s">
        <v>6118</v>
      </c>
      <c r="B701" s="9" t="s">
        <v>2849</v>
      </c>
    </row>
    <row r="702" spans="1:2" x14ac:dyDescent="0.25">
      <c r="A702" s="9" t="s">
        <v>6117</v>
      </c>
      <c r="B702" s="9" t="s">
        <v>2850</v>
      </c>
    </row>
    <row r="703" spans="1:2" x14ac:dyDescent="0.25">
      <c r="A703" s="9" t="s">
        <v>6116</v>
      </c>
      <c r="B703" s="9" t="s">
        <v>2851</v>
      </c>
    </row>
    <row r="704" spans="1:2" x14ac:dyDescent="0.25">
      <c r="A704" s="9" t="s">
        <v>6115</v>
      </c>
      <c r="B704" s="9" t="s">
        <v>2852</v>
      </c>
    </row>
    <row r="705" spans="1:2" x14ac:dyDescent="0.25">
      <c r="A705" s="9" t="s">
        <v>6114</v>
      </c>
      <c r="B705" s="9" t="s">
        <v>2853</v>
      </c>
    </row>
    <row r="706" spans="1:2" x14ac:dyDescent="0.25">
      <c r="A706" s="9" t="s">
        <v>6113</v>
      </c>
      <c r="B706" s="9" t="s">
        <v>2854</v>
      </c>
    </row>
    <row r="707" spans="1:2" x14ac:dyDescent="0.25">
      <c r="A707" s="9" t="s">
        <v>6112</v>
      </c>
      <c r="B707" s="9" t="s">
        <v>2855</v>
      </c>
    </row>
    <row r="708" spans="1:2" x14ac:dyDescent="0.25">
      <c r="A708" s="9" t="s">
        <v>6111</v>
      </c>
      <c r="B708" s="9" t="s">
        <v>2856</v>
      </c>
    </row>
    <row r="709" spans="1:2" x14ac:dyDescent="0.25">
      <c r="A709" s="9" t="s">
        <v>6110</v>
      </c>
      <c r="B709" s="9" t="s">
        <v>2857</v>
      </c>
    </row>
    <row r="710" spans="1:2" x14ac:dyDescent="0.25">
      <c r="A710" s="9" t="s">
        <v>6109</v>
      </c>
      <c r="B710" s="9" t="s">
        <v>2858</v>
      </c>
    </row>
    <row r="711" spans="1:2" x14ac:dyDescent="0.25">
      <c r="A711" s="9" t="s">
        <v>6108</v>
      </c>
      <c r="B711" s="9" t="s">
        <v>2859</v>
      </c>
    </row>
    <row r="712" spans="1:2" x14ac:dyDescent="0.25">
      <c r="A712" s="9" t="s">
        <v>6107</v>
      </c>
      <c r="B712" s="9" t="s">
        <v>2860</v>
      </c>
    </row>
    <row r="713" spans="1:2" x14ac:dyDescent="0.25">
      <c r="A713" s="9" t="s">
        <v>6106</v>
      </c>
      <c r="B713" s="9" t="s">
        <v>2861</v>
      </c>
    </row>
    <row r="714" spans="1:2" x14ac:dyDescent="0.25">
      <c r="A714" s="9" t="s">
        <v>6105</v>
      </c>
      <c r="B714" s="9" t="s">
        <v>2862</v>
      </c>
    </row>
    <row r="715" spans="1:2" x14ac:dyDescent="0.25">
      <c r="A715" s="9" t="s">
        <v>6104</v>
      </c>
      <c r="B715" s="9" t="s">
        <v>2863</v>
      </c>
    </row>
    <row r="716" spans="1:2" x14ac:dyDescent="0.25">
      <c r="A716" s="9" t="s">
        <v>6103</v>
      </c>
      <c r="B716" s="9" t="s">
        <v>2864</v>
      </c>
    </row>
    <row r="717" spans="1:2" x14ac:dyDescent="0.25">
      <c r="A717" s="9" t="s">
        <v>6102</v>
      </c>
      <c r="B717" s="9" t="s">
        <v>2865</v>
      </c>
    </row>
    <row r="718" spans="1:2" x14ac:dyDescent="0.25">
      <c r="A718" s="9" t="s">
        <v>6101</v>
      </c>
      <c r="B718" s="9" t="s">
        <v>2866</v>
      </c>
    </row>
    <row r="719" spans="1:2" x14ac:dyDescent="0.25">
      <c r="A719" s="9" t="s">
        <v>6100</v>
      </c>
      <c r="B719" s="9" t="s">
        <v>2867</v>
      </c>
    </row>
    <row r="720" spans="1:2" x14ac:dyDescent="0.25">
      <c r="A720" s="9" t="s">
        <v>6099</v>
      </c>
      <c r="B720" s="9" t="s">
        <v>2868</v>
      </c>
    </row>
    <row r="721" spans="1:2" x14ac:dyDescent="0.25">
      <c r="A721" s="9" t="s">
        <v>6098</v>
      </c>
      <c r="B721" s="9" t="s">
        <v>2869</v>
      </c>
    </row>
    <row r="722" spans="1:2" x14ac:dyDescent="0.25">
      <c r="A722" s="9" t="s">
        <v>6097</v>
      </c>
      <c r="B722" s="9" t="s">
        <v>2870</v>
      </c>
    </row>
    <row r="723" spans="1:2" x14ac:dyDescent="0.25">
      <c r="A723" s="9" t="s">
        <v>6096</v>
      </c>
      <c r="B723" s="9" t="s">
        <v>2871</v>
      </c>
    </row>
    <row r="724" spans="1:2" x14ac:dyDescent="0.25">
      <c r="A724" s="9" t="s">
        <v>6095</v>
      </c>
      <c r="B724" s="9" t="s">
        <v>2872</v>
      </c>
    </row>
    <row r="725" spans="1:2" x14ac:dyDescent="0.25">
      <c r="A725" s="9" t="s">
        <v>6094</v>
      </c>
      <c r="B725" s="9" t="s">
        <v>2873</v>
      </c>
    </row>
    <row r="726" spans="1:2" x14ac:dyDescent="0.25">
      <c r="A726" s="9" t="s">
        <v>6093</v>
      </c>
      <c r="B726" s="9" t="s">
        <v>2874</v>
      </c>
    </row>
    <row r="727" spans="1:2" x14ac:dyDescent="0.25">
      <c r="A727" s="9" t="s">
        <v>6092</v>
      </c>
      <c r="B727" s="9" t="s">
        <v>2875</v>
      </c>
    </row>
    <row r="728" spans="1:2" x14ac:dyDescent="0.25">
      <c r="A728" s="9" t="s">
        <v>6091</v>
      </c>
      <c r="B728" s="9" t="s">
        <v>2876</v>
      </c>
    </row>
    <row r="729" spans="1:2" x14ac:dyDescent="0.25">
      <c r="A729" s="9" t="s">
        <v>6090</v>
      </c>
      <c r="B729" s="9" t="s">
        <v>2877</v>
      </c>
    </row>
    <row r="730" spans="1:2" x14ac:dyDescent="0.25">
      <c r="A730" s="9" t="s">
        <v>6089</v>
      </c>
      <c r="B730" s="9" t="s">
        <v>2878</v>
      </c>
    </row>
    <row r="731" spans="1:2" x14ac:dyDescent="0.25">
      <c r="A731" s="9" t="s">
        <v>6088</v>
      </c>
      <c r="B731" s="9" t="s">
        <v>2879</v>
      </c>
    </row>
    <row r="732" spans="1:2" x14ac:dyDescent="0.25">
      <c r="A732" s="9" t="s">
        <v>6087</v>
      </c>
      <c r="B732" s="9" t="s">
        <v>2880</v>
      </c>
    </row>
    <row r="733" spans="1:2" x14ac:dyDescent="0.25">
      <c r="A733" s="9" t="s">
        <v>6086</v>
      </c>
      <c r="B733" s="9" t="s">
        <v>2881</v>
      </c>
    </row>
    <row r="734" spans="1:2" x14ac:dyDescent="0.25">
      <c r="A734" s="9" t="s">
        <v>6085</v>
      </c>
      <c r="B734" s="9" t="s">
        <v>2882</v>
      </c>
    </row>
    <row r="735" spans="1:2" x14ac:dyDescent="0.25">
      <c r="A735" s="9" t="s">
        <v>6084</v>
      </c>
      <c r="B735" s="9" t="s">
        <v>2883</v>
      </c>
    </row>
    <row r="736" spans="1:2" x14ac:dyDescent="0.25">
      <c r="A736" s="9" t="s">
        <v>6083</v>
      </c>
      <c r="B736" s="9" t="s">
        <v>2884</v>
      </c>
    </row>
    <row r="737" spans="1:2" x14ac:dyDescent="0.25">
      <c r="A737" s="9" t="s">
        <v>6082</v>
      </c>
      <c r="B737" s="9" t="s">
        <v>6081</v>
      </c>
    </row>
    <row r="738" spans="1:2" x14ac:dyDescent="0.25">
      <c r="A738" s="9" t="s">
        <v>6080</v>
      </c>
      <c r="B738" s="9" t="s">
        <v>6079</v>
      </c>
    </row>
    <row r="739" spans="1:2" x14ac:dyDescent="0.25">
      <c r="A739" s="9" t="s">
        <v>6078</v>
      </c>
      <c r="B739" s="9" t="s">
        <v>6077</v>
      </c>
    </row>
    <row r="740" spans="1:2" x14ac:dyDescent="0.25">
      <c r="A740" s="9" t="s">
        <v>6076</v>
      </c>
      <c r="B740" s="9" t="s">
        <v>6075</v>
      </c>
    </row>
    <row r="741" spans="1:2" x14ac:dyDescent="0.25">
      <c r="A741" s="9" t="s">
        <v>6074</v>
      </c>
      <c r="B741" s="9" t="s">
        <v>6073</v>
      </c>
    </row>
    <row r="742" spans="1:2" x14ac:dyDescent="0.25">
      <c r="A742" s="9" t="s">
        <v>6072</v>
      </c>
      <c r="B742" s="9" t="s">
        <v>6071</v>
      </c>
    </row>
    <row r="743" spans="1:2" x14ac:dyDescent="0.25">
      <c r="A743" s="9" t="s">
        <v>6070</v>
      </c>
      <c r="B743" s="9" t="s">
        <v>6069</v>
      </c>
    </row>
    <row r="744" spans="1:2" x14ac:dyDescent="0.25">
      <c r="A744" s="9" t="s">
        <v>6068</v>
      </c>
      <c r="B744" s="9" t="s">
        <v>6067</v>
      </c>
    </row>
    <row r="745" spans="1:2" x14ac:dyDescent="0.25">
      <c r="A745" s="9" t="s">
        <v>6066</v>
      </c>
      <c r="B745" s="9" t="s">
        <v>6065</v>
      </c>
    </row>
    <row r="746" spans="1:2" x14ac:dyDescent="0.25">
      <c r="A746" s="9" t="s">
        <v>6064</v>
      </c>
      <c r="B746" s="9" t="s">
        <v>6063</v>
      </c>
    </row>
    <row r="747" spans="1:2" x14ac:dyDescent="0.25">
      <c r="A747" s="9" t="s">
        <v>6062</v>
      </c>
      <c r="B747" s="9" t="s">
        <v>6061</v>
      </c>
    </row>
    <row r="748" spans="1:2" x14ac:dyDescent="0.25">
      <c r="A748" s="9" t="s">
        <v>6060</v>
      </c>
      <c r="B748" s="9" t="s">
        <v>6059</v>
      </c>
    </row>
    <row r="749" spans="1:2" x14ac:dyDescent="0.25">
      <c r="A749" s="9" t="s">
        <v>6058</v>
      </c>
      <c r="B749" s="9" t="s">
        <v>6057</v>
      </c>
    </row>
    <row r="750" spans="1:2" x14ac:dyDescent="0.25">
      <c r="A750" s="9" t="s">
        <v>6056</v>
      </c>
      <c r="B750" s="9" t="s">
        <v>6055</v>
      </c>
    </row>
    <row r="751" spans="1:2" x14ac:dyDescent="0.25">
      <c r="A751" s="9" t="s">
        <v>6054</v>
      </c>
      <c r="B751" s="9" t="s">
        <v>6053</v>
      </c>
    </row>
    <row r="752" spans="1:2" x14ac:dyDescent="0.25">
      <c r="A752" s="9" t="s">
        <v>6052</v>
      </c>
      <c r="B752" s="9" t="s">
        <v>6051</v>
      </c>
    </row>
    <row r="753" spans="1:2" x14ac:dyDescent="0.25">
      <c r="A753" s="9" t="s">
        <v>6050</v>
      </c>
      <c r="B753" s="9" t="s">
        <v>6049</v>
      </c>
    </row>
    <row r="754" spans="1:2" x14ac:dyDescent="0.25">
      <c r="A754" s="9" t="s">
        <v>6048</v>
      </c>
      <c r="B754" s="9" t="s">
        <v>6047</v>
      </c>
    </row>
    <row r="755" spans="1:2" x14ac:dyDescent="0.25">
      <c r="A755" s="9" t="s">
        <v>6046</v>
      </c>
      <c r="B755" s="9" t="s">
        <v>6045</v>
      </c>
    </row>
    <row r="756" spans="1:2" x14ac:dyDescent="0.25">
      <c r="A756" s="9" t="s">
        <v>6044</v>
      </c>
      <c r="B756" s="9" t="s">
        <v>6043</v>
      </c>
    </row>
    <row r="757" spans="1:2" x14ac:dyDescent="0.25">
      <c r="A757" s="9" t="s">
        <v>6042</v>
      </c>
      <c r="B757" s="9" t="s">
        <v>6041</v>
      </c>
    </row>
    <row r="758" spans="1:2" x14ac:dyDescent="0.25">
      <c r="A758" s="9" t="s">
        <v>6040</v>
      </c>
      <c r="B758" s="9" t="s">
        <v>6039</v>
      </c>
    </row>
    <row r="759" spans="1:2" x14ac:dyDescent="0.25">
      <c r="A759" s="9" t="s">
        <v>6038</v>
      </c>
      <c r="B759" s="9" t="s">
        <v>6037</v>
      </c>
    </row>
    <row r="760" spans="1:2" x14ac:dyDescent="0.25">
      <c r="A760" s="9" t="s">
        <v>6036</v>
      </c>
      <c r="B760" s="9" t="s">
        <v>6035</v>
      </c>
    </row>
    <row r="761" spans="1:2" x14ac:dyDescent="0.25">
      <c r="A761" s="9" t="s">
        <v>6034</v>
      </c>
      <c r="B761" s="9" t="s">
        <v>6033</v>
      </c>
    </row>
    <row r="762" spans="1:2" x14ac:dyDescent="0.25">
      <c r="A762" s="9" t="s">
        <v>6032</v>
      </c>
      <c r="B762" s="9" t="s">
        <v>6031</v>
      </c>
    </row>
    <row r="763" spans="1:2" x14ac:dyDescent="0.25">
      <c r="A763" s="9" t="s">
        <v>6030</v>
      </c>
      <c r="B763" s="9" t="s">
        <v>6029</v>
      </c>
    </row>
    <row r="764" spans="1:2" x14ac:dyDescent="0.25">
      <c r="A764" s="9" t="s">
        <v>6028</v>
      </c>
      <c r="B764" s="9" t="s">
        <v>6027</v>
      </c>
    </row>
    <row r="765" spans="1:2" x14ac:dyDescent="0.25">
      <c r="A765" s="9" t="s">
        <v>6026</v>
      </c>
      <c r="B765" s="9" t="s">
        <v>6025</v>
      </c>
    </row>
    <row r="766" spans="1:2" x14ac:dyDescent="0.25">
      <c r="A766" s="9" t="s">
        <v>6024</v>
      </c>
      <c r="B766" s="9" t="s">
        <v>6023</v>
      </c>
    </row>
    <row r="767" spans="1:2" x14ac:dyDescent="0.25">
      <c r="A767" s="9" t="s">
        <v>6022</v>
      </c>
      <c r="B767" s="9" t="s">
        <v>6021</v>
      </c>
    </row>
    <row r="768" spans="1:2" x14ac:dyDescent="0.25">
      <c r="A768" s="9" t="s">
        <v>6020</v>
      </c>
      <c r="B768" s="9" t="s">
        <v>6019</v>
      </c>
    </row>
    <row r="769" spans="1:2" x14ac:dyDescent="0.25">
      <c r="A769" s="9" t="s">
        <v>6018</v>
      </c>
      <c r="B769" s="9" t="s">
        <v>6017</v>
      </c>
    </row>
    <row r="770" spans="1:2" x14ac:dyDescent="0.25">
      <c r="A770" s="9" t="s">
        <v>6016</v>
      </c>
      <c r="B770" s="9" t="s">
        <v>6015</v>
      </c>
    </row>
    <row r="771" spans="1:2" x14ac:dyDescent="0.25">
      <c r="A771" s="9" t="s">
        <v>6014</v>
      </c>
      <c r="B771" s="9" t="s">
        <v>6013</v>
      </c>
    </row>
    <row r="772" spans="1:2" x14ac:dyDescent="0.25">
      <c r="A772" s="9" t="s">
        <v>6012</v>
      </c>
      <c r="B772" s="9" t="s">
        <v>6011</v>
      </c>
    </row>
    <row r="773" spans="1:2" x14ac:dyDescent="0.25">
      <c r="A773" s="9" t="s">
        <v>6010</v>
      </c>
      <c r="B773" s="9" t="s">
        <v>6009</v>
      </c>
    </row>
    <row r="774" spans="1:2" x14ac:dyDescent="0.25">
      <c r="A774" s="9" t="s">
        <v>6008</v>
      </c>
      <c r="B774" s="9" t="s">
        <v>6007</v>
      </c>
    </row>
    <row r="775" spans="1:2" x14ac:dyDescent="0.25">
      <c r="A775" s="9" t="s">
        <v>6006</v>
      </c>
      <c r="B775" s="9" t="s">
        <v>6005</v>
      </c>
    </row>
    <row r="776" spans="1:2" x14ac:dyDescent="0.25">
      <c r="A776" s="9" t="s">
        <v>6004</v>
      </c>
      <c r="B776" s="9" t="s">
        <v>6003</v>
      </c>
    </row>
    <row r="777" spans="1:2" x14ac:dyDescent="0.25">
      <c r="A777" s="9" t="s">
        <v>6002</v>
      </c>
      <c r="B777" s="9" t="s">
        <v>6001</v>
      </c>
    </row>
    <row r="778" spans="1:2" x14ac:dyDescent="0.25">
      <c r="A778" s="9" t="s">
        <v>6000</v>
      </c>
      <c r="B778" s="9" t="s">
        <v>5999</v>
      </c>
    </row>
    <row r="779" spans="1:2" x14ac:dyDescent="0.25">
      <c r="A779" s="9" t="s">
        <v>5998</v>
      </c>
      <c r="B779" s="9" t="s">
        <v>5997</v>
      </c>
    </row>
    <row r="780" spans="1:2" x14ac:dyDescent="0.25">
      <c r="A780" s="9" t="s">
        <v>5996</v>
      </c>
      <c r="B780" s="9" t="s">
        <v>5995</v>
      </c>
    </row>
    <row r="781" spans="1:2" x14ac:dyDescent="0.25">
      <c r="A781" s="9" t="s">
        <v>5994</v>
      </c>
      <c r="B781" s="9" t="s">
        <v>5993</v>
      </c>
    </row>
    <row r="782" spans="1:2" x14ac:dyDescent="0.25">
      <c r="A782" s="9" t="s">
        <v>5992</v>
      </c>
      <c r="B782" s="9" t="s">
        <v>5991</v>
      </c>
    </row>
    <row r="783" spans="1:2" x14ac:dyDescent="0.25">
      <c r="A783" s="9" t="s">
        <v>5990</v>
      </c>
      <c r="B783" s="9" t="s">
        <v>5989</v>
      </c>
    </row>
    <row r="784" spans="1:2" x14ac:dyDescent="0.25">
      <c r="A784" s="9" t="s">
        <v>5988</v>
      </c>
      <c r="B784" s="9" t="s">
        <v>5987</v>
      </c>
    </row>
    <row r="785" spans="1:2" x14ac:dyDescent="0.25">
      <c r="A785" s="9" t="s">
        <v>5986</v>
      </c>
      <c r="B785" s="9" t="s">
        <v>5985</v>
      </c>
    </row>
    <row r="786" spans="1:2" x14ac:dyDescent="0.25">
      <c r="A786" s="9" t="s">
        <v>5984</v>
      </c>
      <c r="B786" s="9" t="s">
        <v>5983</v>
      </c>
    </row>
    <row r="787" spans="1:2" x14ac:dyDescent="0.25">
      <c r="A787" s="9" t="s">
        <v>5982</v>
      </c>
      <c r="B787" s="9" t="s">
        <v>5981</v>
      </c>
    </row>
    <row r="788" spans="1:2" x14ac:dyDescent="0.25">
      <c r="A788" s="9" t="s">
        <v>5980</v>
      </c>
      <c r="B788" s="9" t="s">
        <v>5979</v>
      </c>
    </row>
    <row r="789" spans="1:2" x14ac:dyDescent="0.25">
      <c r="A789" s="9" t="s">
        <v>5978</v>
      </c>
      <c r="B789" s="9" t="s">
        <v>5977</v>
      </c>
    </row>
    <row r="790" spans="1:2" x14ac:dyDescent="0.25">
      <c r="A790" s="9" t="s">
        <v>5976</v>
      </c>
      <c r="B790" s="9" t="s">
        <v>5975</v>
      </c>
    </row>
    <row r="791" spans="1:2" x14ac:dyDescent="0.25">
      <c r="A791" s="9" t="s">
        <v>5974</v>
      </c>
      <c r="B791" s="9" t="s">
        <v>5973</v>
      </c>
    </row>
    <row r="792" spans="1:2" x14ac:dyDescent="0.25">
      <c r="A792" s="9" t="s">
        <v>5972</v>
      </c>
      <c r="B792" s="9" t="s">
        <v>5971</v>
      </c>
    </row>
    <row r="793" spans="1:2" x14ac:dyDescent="0.25">
      <c r="A793" s="9" t="s">
        <v>5970</v>
      </c>
      <c r="B793" s="9" t="s">
        <v>5969</v>
      </c>
    </row>
    <row r="794" spans="1:2" x14ac:dyDescent="0.25">
      <c r="A794" s="9" t="s">
        <v>5968</v>
      </c>
      <c r="B794" s="9" t="s">
        <v>5967</v>
      </c>
    </row>
    <row r="795" spans="1:2" x14ac:dyDescent="0.25">
      <c r="A795" s="9" t="s">
        <v>5966</v>
      </c>
      <c r="B795" s="9" t="s">
        <v>5965</v>
      </c>
    </row>
    <row r="796" spans="1:2" x14ac:dyDescent="0.25">
      <c r="A796" s="9" t="s">
        <v>5964</v>
      </c>
      <c r="B796" s="9" t="s">
        <v>5963</v>
      </c>
    </row>
    <row r="797" spans="1:2" x14ac:dyDescent="0.25">
      <c r="A797" s="9" t="s">
        <v>5962</v>
      </c>
      <c r="B797" s="9" t="s">
        <v>5961</v>
      </c>
    </row>
    <row r="798" spans="1:2" x14ac:dyDescent="0.25">
      <c r="A798" s="9" t="s">
        <v>5960</v>
      </c>
      <c r="B798" s="9" t="s">
        <v>5959</v>
      </c>
    </row>
    <row r="799" spans="1:2" x14ac:dyDescent="0.25">
      <c r="A799" s="9" t="s">
        <v>5958</v>
      </c>
      <c r="B799" s="9" t="s">
        <v>5957</v>
      </c>
    </row>
    <row r="800" spans="1:2" x14ac:dyDescent="0.25">
      <c r="A800" s="9" t="s">
        <v>5956</v>
      </c>
      <c r="B800" s="9" t="s">
        <v>5955</v>
      </c>
    </row>
    <row r="801" spans="1:2" x14ac:dyDescent="0.25">
      <c r="A801" s="9" t="s">
        <v>5954</v>
      </c>
      <c r="B801" s="9" t="s">
        <v>5953</v>
      </c>
    </row>
    <row r="802" spans="1:2" x14ac:dyDescent="0.25">
      <c r="A802" s="9" t="s">
        <v>5952</v>
      </c>
      <c r="B802" s="9" t="s">
        <v>5951</v>
      </c>
    </row>
    <row r="803" spans="1:2" x14ac:dyDescent="0.25">
      <c r="A803" s="9" t="s">
        <v>5950</v>
      </c>
      <c r="B803" s="9" t="s">
        <v>5949</v>
      </c>
    </row>
    <row r="804" spans="1:2" x14ac:dyDescent="0.25">
      <c r="A804" s="9" t="s">
        <v>5948</v>
      </c>
      <c r="B804" s="9" t="s">
        <v>5947</v>
      </c>
    </row>
    <row r="805" spans="1:2" x14ac:dyDescent="0.25">
      <c r="A805" s="9" t="s">
        <v>5946</v>
      </c>
      <c r="B805" s="9" t="s">
        <v>5945</v>
      </c>
    </row>
    <row r="806" spans="1:2" x14ac:dyDescent="0.25">
      <c r="A806" s="9" t="s">
        <v>5944</v>
      </c>
      <c r="B806" s="9" t="s">
        <v>5943</v>
      </c>
    </row>
    <row r="807" spans="1:2" x14ac:dyDescent="0.25">
      <c r="A807" s="9" t="s">
        <v>5942</v>
      </c>
      <c r="B807" s="9" t="s">
        <v>5941</v>
      </c>
    </row>
    <row r="808" spans="1:2" x14ac:dyDescent="0.25">
      <c r="A808" s="9" t="s">
        <v>5940</v>
      </c>
      <c r="B808" s="9" t="s">
        <v>5939</v>
      </c>
    </row>
    <row r="809" spans="1:2" x14ac:dyDescent="0.25">
      <c r="A809" s="9" t="s">
        <v>5938</v>
      </c>
      <c r="B809" s="9" t="s">
        <v>5937</v>
      </c>
    </row>
    <row r="810" spans="1:2" x14ac:dyDescent="0.25">
      <c r="A810" s="9" t="s">
        <v>5936</v>
      </c>
      <c r="B810" s="9" t="s">
        <v>5935</v>
      </c>
    </row>
    <row r="811" spans="1:2" x14ac:dyDescent="0.25">
      <c r="A811" s="9" t="s">
        <v>5934</v>
      </c>
      <c r="B811" s="9" t="s">
        <v>5933</v>
      </c>
    </row>
    <row r="812" spans="1:2" x14ac:dyDescent="0.25">
      <c r="A812" s="9" t="s">
        <v>5932</v>
      </c>
      <c r="B812" s="9" t="s">
        <v>5931</v>
      </c>
    </row>
    <row r="813" spans="1:2" x14ac:dyDescent="0.25">
      <c r="A813" s="9" t="s">
        <v>5930</v>
      </c>
      <c r="B813" s="9" t="s">
        <v>5929</v>
      </c>
    </row>
    <row r="814" spans="1:2" x14ac:dyDescent="0.25">
      <c r="A814" s="9" t="s">
        <v>5928</v>
      </c>
      <c r="B814" s="9" t="s">
        <v>5927</v>
      </c>
    </row>
    <row r="815" spans="1:2" x14ac:dyDescent="0.25">
      <c r="A815" s="9" t="s">
        <v>5926</v>
      </c>
      <c r="B815" s="9" t="s">
        <v>5925</v>
      </c>
    </row>
    <row r="816" spans="1:2" x14ac:dyDescent="0.25">
      <c r="A816" s="9" t="s">
        <v>5924</v>
      </c>
      <c r="B816" s="9" t="s">
        <v>5923</v>
      </c>
    </row>
    <row r="817" spans="1:2" x14ac:dyDescent="0.25">
      <c r="A817" s="9" t="s">
        <v>5922</v>
      </c>
      <c r="B817" s="9" t="s">
        <v>5921</v>
      </c>
    </row>
    <row r="818" spans="1:2" x14ac:dyDescent="0.25">
      <c r="A818" s="9" t="s">
        <v>5920</v>
      </c>
      <c r="B818" s="9" t="s">
        <v>5919</v>
      </c>
    </row>
    <row r="819" spans="1:2" x14ac:dyDescent="0.25">
      <c r="A819" s="9" t="s">
        <v>5918</v>
      </c>
      <c r="B819" s="9" t="s">
        <v>5917</v>
      </c>
    </row>
    <row r="820" spans="1:2" x14ac:dyDescent="0.25">
      <c r="A820" s="9" t="s">
        <v>5916</v>
      </c>
      <c r="B820" s="9" t="s">
        <v>5915</v>
      </c>
    </row>
    <row r="821" spans="1:2" x14ac:dyDescent="0.25">
      <c r="A821" s="9" t="s">
        <v>5914</v>
      </c>
      <c r="B821" s="9" t="s">
        <v>5913</v>
      </c>
    </row>
    <row r="822" spans="1:2" x14ac:dyDescent="0.25">
      <c r="A822" s="9" t="s">
        <v>5912</v>
      </c>
      <c r="B822" s="9" t="s">
        <v>5911</v>
      </c>
    </row>
    <row r="823" spans="1:2" x14ac:dyDescent="0.25">
      <c r="A823" s="9" t="s">
        <v>5910</v>
      </c>
      <c r="B823" s="9" t="s">
        <v>5909</v>
      </c>
    </row>
    <row r="824" spans="1:2" x14ac:dyDescent="0.25">
      <c r="A824" s="9" t="s">
        <v>5908</v>
      </c>
      <c r="B824" s="9" t="s">
        <v>5907</v>
      </c>
    </row>
    <row r="825" spans="1:2" x14ac:dyDescent="0.25">
      <c r="A825" s="9" t="s">
        <v>5906</v>
      </c>
      <c r="B825" s="9" t="s">
        <v>5905</v>
      </c>
    </row>
    <row r="826" spans="1:2" x14ac:dyDescent="0.25">
      <c r="A826" s="9" t="s">
        <v>5904</v>
      </c>
      <c r="B826" s="9" t="s">
        <v>5903</v>
      </c>
    </row>
    <row r="827" spans="1:2" x14ac:dyDescent="0.25">
      <c r="A827" s="9" t="s">
        <v>5902</v>
      </c>
      <c r="B827" s="9" t="s">
        <v>5901</v>
      </c>
    </row>
    <row r="828" spans="1:2" x14ac:dyDescent="0.25">
      <c r="A828" s="9" t="s">
        <v>5900</v>
      </c>
      <c r="B828" s="9" t="s">
        <v>5899</v>
      </c>
    </row>
    <row r="829" spans="1:2" x14ac:dyDescent="0.25">
      <c r="A829" s="9" t="s">
        <v>5898</v>
      </c>
      <c r="B829" s="9" t="s">
        <v>5897</v>
      </c>
    </row>
    <row r="830" spans="1:2" x14ac:dyDescent="0.25">
      <c r="A830" s="9" t="s">
        <v>5896</v>
      </c>
      <c r="B830" s="9" t="s">
        <v>5895</v>
      </c>
    </row>
    <row r="831" spans="1:2" x14ac:dyDescent="0.25">
      <c r="A831" s="9" t="s">
        <v>5894</v>
      </c>
      <c r="B831" s="9" t="s">
        <v>5893</v>
      </c>
    </row>
    <row r="832" spans="1:2" x14ac:dyDescent="0.25">
      <c r="A832" s="9" t="s">
        <v>5892</v>
      </c>
      <c r="B832" s="9" t="s">
        <v>5891</v>
      </c>
    </row>
    <row r="833" spans="1:2" x14ac:dyDescent="0.25">
      <c r="A833" s="9" t="s">
        <v>5890</v>
      </c>
      <c r="B833" s="9" t="s">
        <v>5889</v>
      </c>
    </row>
    <row r="834" spans="1:2" x14ac:dyDescent="0.25">
      <c r="A834" s="9" t="s">
        <v>5888</v>
      </c>
      <c r="B834" s="9" t="s">
        <v>5887</v>
      </c>
    </row>
    <row r="835" spans="1:2" x14ac:dyDescent="0.25">
      <c r="A835" s="9" t="s">
        <v>5886</v>
      </c>
      <c r="B835" s="9" t="s">
        <v>5885</v>
      </c>
    </row>
    <row r="836" spans="1:2" x14ac:dyDescent="0.25">
      <c r="A836" s="9" t="s">
        <v>5884</v>
      </c>
      <c r="B836" s="9" t="s">
        <v>5883</v>
      </c>
    </row>
    <row r="837" spans="1:2" x14ac:dyDescent="0.25">
      <c r="A837" s="9" t="s">
        <v>5882</v>
      </c>
      <c r="B837" s="9" t="s">
        <v>5881</v>
      </c>
    </row>
    <row r="838" spans="1:2" x14ac:dyDescent="0.25">
      <c r="A838" s="9" t="s">
        <v>5880</v>
      </c>
      <c r="B838" s="9" t="s">
        <v>5879</v>
      </c>
    </row>
    <row r="839" spans="1:2" x14ac:dyDescent="0.25">
      <c r="A839" s="9" t="s">
        <v>5878</v>
      </c>
      <c r="B839" s="9" t="s">
        <v>5877</v>
      </c>
    </row>
    <row r="840" spans="1:2" x14ac:dyDescent="0.25">
      <c r="A840" s="9" t="s">
        <v>5876</v>
      </c>
      <c r="B840" s="9" t="s">
        <v>5875</v>
      </c>
    </row>
    <row r="841" spans="1:2" x14ac:dyDescent="0.25">
      <c r="A841" s="9" t="s">
        <v>5874</v>
      </c>
      <c r="B841" s="9" t="s">
        <v>5873</v>
      </c>
    </row>
    <row r="842" spans="1:2" x14ac:dyDescent="0.25">
      <c r="A842" s="9" t="s">
        <v>5872</v>
      </c>
      <c r="B842" s="9" t="s">
        <v>5871</v>
      </c>
    </row>
    <row r="843" spans="1:2" x14ac:dyDescent="0.25">
      <c r="A843" s="9" t="s">
        <v>5870</v>
      </c>
      <c r="B843" s="9" t="s">
        <v>5869</v>
      </c>
    </row>
    <row r="844" spans="1:2" x14ac:dyDescent="0.25">
      <c r="A844" s="9" t="s">
        <v>5868</v>
      </c>
      <c r="B844" s="9" t="s">
        <v>5867</v>
      </c>
    </row>
    <row r="845" spans="1:2" x14ac:dyDescent="0.25">
      <c r="A845" s="9" t="s">
        <v>5866</v>
      </c>
      <c r="B845" s="9" t="s">
        <v>5865</v>
      </c>
    </row>
    <row r="846" spans="1:2" x14ac:dyDescent="0.25">
      <c r="A846" s="9" t="s">
        <v>5864</v>
      </c>
      <c r="B846" s="9" t="s">
        <v>5863</v>
      </c>
    </row>
    <row r="847" spans="1:2" x14ac:dyDescent="0.25">
      <c r="A847" s="9" t="s">
        <v>5862</v>
      </c>
      <c r="B847" s="9" t="s">
        <v>5861</v>
      </c>
    </row>
    <row r="848" spans="1:2" x14ac:dyDescent="0.25">
      <c r="A848" s="9" t="s">
        <v>5860</v>
      </c>
      <c r="B848" s="9" t="s">
        <v>5859</v>
      </c>
    </row>
    <row r="849" spans="1:2" x14ac:dyDescent="0.25">
      <c r="A849" s="9" t="s">
        <v>5858</v>
      </c>
      <c r="B849" s="9" t="s">
        <v>5857</v>
      </c>
    </row>
    <row r="850" spans="1:2" x14ac:dyDescent="0.25">
      <c r="A850" s="9" t="s">
        <v>5856</v>
      </c>
      <c r="B850" s="9" t="s">
        <v>5855</v>
      </c>
    </row>
    <row r="851" spans="1:2" x14ac:dyDescent="0.25">
      <c r="A851" s="9" t="s">
        <v>5854</v>
      </c>
      <c r="B851" s="9" t="s">
        <v>5853</v>
      </c>
    </row>
    <row r="852" spans="1:2" x14ac:dyDescent="0.25">
      <c r="A852" s="9" t="s">
        <v>5852</v>
      </c>
      <c r="B852" s="9" t="s">
        <v>5851</v>
      </c>
    </row>
    <row r="853" spans="1:2" x14ac:dyDescent="0.25">
      <c r="A853" s="9" t="s">
        <v>5850</v>
      </c>
      <c r="B853" s="9" t="s">
        <v>5849</v>
      </c>
    </row>
    <row r="854" spans="1:2" x14ac:dyDescent="0.25">
      <c r="A854" s="9" t="s">
        <v>5848</v>
      </c>
      <c r="B854" s="9" t="s">
        <v>5847</v>
      </c>
    </row>
    <row r="855" spans="1:2" x14ac:dyDescent="0.25">
      <c r="A855" s="9" t="s">
        <v>5846</v>
      </c>
      <c r="B855" s="9" t="s">
        <v>5845</v>
      </c>
    </row>
    <row r="856" spans="1:2" x14ac:dyDescent="0.25">
      <c r="A856" s="9" t="s">
        <v>5844</v>
      </c>
      <c r="B856" s="9" t="s">
        <v>5843</v>
      </c>
    </row>
    <row r="857" spans="1:2" x14ac:dyDescent="0.25">
      <c r="A857" s="9" t="s">
        <v>5842</v>
      </c>
      <c r="B857" s="9" t="s">
        <v>5841</v>
      </c>
    </row>
    <row r="858" spans="1:2" x14ac:dyDescent="0.25">
      <c r="A858" s="9" t="s">
        <v>5840</v>
      </c>
      <c r="B858" s="9" t="s">
        <v>5839</v>
      </c>
    </row>
    <row r="859" spans="1:2" x14ac:dyDescent="0.25">
      <c r="A859" s="9" t="s">
        <v>5838</v>
      </c>
      <c r="B859" s="9" t="s">
        <v>5837</v>
      </c>
    </row>
    <row r="860" spans="1:2" x14ac:dyDescent="0.25">
      <c r="A860" s="9" t="s">
        <v>5836</v>
      </c>
      <c r="B860" s="9" t="s">
        <v>5835</v>
      </c>
    </row>
    <row r="861" spans="1:2" x14ac:dyDescent="0.25">
      <c r="A861" s="9" t="s">
        <v>5834</v>
      </c>
      <c r="B861" s="9" t="s">
        <v>5833</v>
      </c>
    </row>
    <row r="862" spans="1:2" x14ac:dyDescent="0.25">
      <c r="A862" s="9" t="s">
        <v>5832</v>
      </c>
      <c r="B862" s="9" t="s">
        <v>5831</v>
      </c>
    </row>
    <row r="863" spans="1:2" x14ac:dyDescent="0.25">
      <c r="A863" s="9" t="s">
        <v>5830</v>
      </c>
      <c r="B863" s="9" t="s">
        <v>5829</v>
      </c>
    </row>
    <row r="864" spans="1:2" x14ac:dyDescent="0.25">
      <c r="A864" s="9" t="s">
        <v>5828</v>
      </c>
      <c r="B864" s="9" t="s">
        <v>5827</v>
      </c>
    </row>
    <row r="865" spans="1:2" x14ac:dyDescent="0.25">
      <c r="A865" s="9" t="s">
        <v>5826</v>
      </c>
      <c r="B865" s="9" t="s">
        <v>5825</v>
      </c>
    </row>
    <row r="866" spans="1:2" x14ac:dyDescent="0.25">
      <c r="A866" s="9" t="s">
        <v>5824</v>
      </c>
      <c r="B866" s="9" t="s">
        <v>5823</v>
      </c>
    </row>
    <row r="867" spans="1:2" x14ac:dyDescent="0.25">
      <c r="A867" s="9" t="s">
        <v>5822</v>
      </c>
      <c r="B867" s="9" t="s">
        <v>5821</v>
      </c>
    </row>
    <row r="868" spans="1:2" x14ac:dyDescent="0.25">
      <c r="A868" s="9" t="s">
        <v>5820</v>
      </c>
      <c r="B868" s="9" t="s">
        <v>5819</v>
      </c>
    </row>
    <row r="869" spans="1:2" x14ac:dyDescent="0.25">
      <c r="A869" s="9" t="s">
        <v>5818</v>
      </c>
      <c r="B869" s="9" t="s">
        <v>2885</v>
      </c>
    </row>
    <row r="870" spans="1:2" x14ac:dyDescent="0.25">
      <c r="A870" s="9" t="s">
        <v>5817</v>
      </c>
      <c r="B870" s="9" t="s">
        <v>2886</v>
      </c>
    </row>
    <row r="871" spans="1:2" x14ac:dyDescent="0.25">
      <c r="A871" s="9" t="s">
        <v>5816</v>
      </c>
      <c r="B871" s="9" t="s">
        <v>2887</v>
      </c>
    </row>
    <row r="872" spans="1:2" x14ac:dyDescent="0.25">
      <c r="A872" s="9" t="s">
        <v>5815</v>
      </c>
      <c r="B872" s="9" t="s">
        <v>2888</v>
      </c>
    </row>
    <row r="873" spans="1:2" x14ac:dyDescent="0.25">
      <c r="A873" s="9" t="s">
        <v>5814</v>
      </c>
      <c r="B873" s="9" t="s">
        <v>2889</v>
      </c>
    </row>
    <row r="874" spans="1:2" x14ac:dyDescent="0.25">
      <c r="A874" s="9" t="s">
        <v>5813</v>
      </c>
      <c r="B874" s="9" t="s">
        <v>2890</v>
      </c>
    </row>
    <row r="875" spans="1:2" x14ac:dyDescent="0.25">
      <c r="A875" s="9" t="s">
        <v>5812</v>
      </c>
      <c r="B875" s="9" t="s">
        <v>2891</v>
      </c>
    </row>
    <row r="876" spans="1:2" x14ac:dyDescent="0.25">
      <c r="A876" s="9" t="s">
        <v>5811</v>
      </c>
      <c r="B876" s="9" t="s">
        <v>2892</v>
      </c>
    </row>
    <row r="877" spans="1:2" x14ac:dyDescent="0.25">
      <c r="A877" s="9" t="s">
        <v>5810</v>
      </c>
      <c r="B877" s="9" t="s">
        <v>2893</v>
      </c>
    </row>
    <row r="878" spans="1:2" x14ac:dyDescent="0.25">
      <c r="A878" s="9" t="s">
        <v>5809</v>
      </c>
      <c r="B878" s="9" t="s">
        <v>2894</v>
      </c>
    </row>
    <row r="879" spans="1:2" x14ac:dyDescent="0.25">
      <c r="A879" s="9" t="s">
        <v>5808</v>
      </c>
      <c r="B879" s="9" t="s">
        <v>2895</v>
      </c>
    </row>
    <row r="880" spans="1:2" x14ac:dyDescent="0.25">
      <c r="A880" s="9" t="s">
        <v>5807</v>
      </c>
      <c r="B880" s="9" t="s">
        <v>2896</v>
      </c>
    </row>
    <row r="881" spans="1:2" x14ac:dyDescent="0.25">
      <c r="A881" s="9" t="s">
        <v>5806</v>
      </c>
      <c r="B881" s="9" t="s">
        <v>2897</v>
      </c>
    </row>
    <row r="882" spans="1:2" x14ac:dyDescent="0.25">
      <c r="A882" s="9" t="s">
        <v>5805</v>
      </c>
      <c r="B882" s="9" t="s">
        <v>2898</v>
      </c>
    </row>
    <row r="883" spans="1:2" x14ac:dyDescent="0.25">
      <c r="A883" s="9" t="s">
        <v>5804</v>
      </c>
      <c r="B883" s="9" t="s">
        <v>2899</v>
      </c>
    </row>
    <row r="884" spans="1:2" x14ac:dyDescent="0.25">
      <c r="A884" s="9" t="s">
        <v>5803</v>
      </c>
      <c r="B884" s="9" t="s">
        <v>2900</v>
      </c>
    </row>
    <row r="885" spans="1:2" x14ac:dyDescent="0.25">
      <c r="A885" s="9" t="s">
        <v>5802</v>
      </c>
      <c r="B885" s="9" t="s">
        <v>2901</v>
      </c>
    </row>
    <row r="886" spans="1:2" x14ac:dyDescent="0.25">
      <c r="A886" s="9" t="s">
        <v>5801</v>
      </c>
      <c r="B886" s="9" t="s">
        <v>2902</v>
      </c>
    </row>
    <row r="887" spans="1:2" x14ac:dyDescent="0.25">
      <c r="A887" s="9" t="s">
        <v>5800</v>
      </c>
      <c r="B887" s="9" t="s">
        <v>2903</v>
      </c>
    </row>
    <row r="888" spans="1:2" x14ac:dyDescent="0.25">
      <c r="A888" s="9" t="s">
        <v>5799</v>
      </c>
      <c r="B888" s="9" t="s">
        <v>2904</v>
      </c>
    </row>
    <row r="889" spans="1:2" x14ac:dyDescent="0.25">
      <c r="A889" s="9" t="s">
        <v>5798</v>
      </c>
      <c r="B889" s="9" t="s">
        <v>2905</v>
      </c>
    </row>
    <row r="890" spans="1:2" x14ac:dyDescent="0.25">
      <c r="A890" s="9" t="s">
        <v>5797</v>
      </c>
      <c r="B890" s="9" t="s">
        <v>2906</v>
      </c>
    </row>
    <row r="891" spans="1:2" x14ac:dyDescent="0.25">
      <c r="A891" s="9" t="s">
        <v>5796</v>
      </c>
      <c r="B891" s="9" t="s">
        <v>2907</v>
      </c>
    </row>
    <row r="892" spans="1:2" x14ac:dyDescent="0.25">
      <c r="A892" s="9" t="s">
        <v>5795</v>
      </c>
      <c r="B892" s="9" t="s">
        <v>2908</v>
      </c>
    </row>
    <row r="893" spans="1:2" x14ac:dyDescent="0.25">
      <c r="A893" s="9" t="s">
        <v>5794</v>
      </c>
      <c r="B893" s="9" t="s">
        <v>2909</v>
      </c>
    </row>
    <row r="894" spans="1:2" x14ac:dyDescent="0.25">
      <c r="A894" s="9" t="s">
        <v>5793</v>
      </c>
      <c r="B894" s="9" t="s">
        <v>2910</v>
      </c>
    </row>
    <row r="895" spans="1:2" x14ac:dyDescent="0.25">
      <c r="A895" s="9" t="s">
        <v>5792</v>
      </c>
      <c r="B895" s="9" t="s">
        <v>2911</v>
      </c>
    </row>
    <row r="896" spans="1:2" x14ac:dyDescent="0.25">
      <c r="A896" s="9" t="s">
        <v>5791</v>
      </c>
      <c r="B896" s="9" t="s">
        <v>2912</v>
      </c>
    </row>
    <row r="897" spans="1:2" x14ac:dyDescent="0.25">
      <c r="A897" s="9" t="s">
        <v>5790</v>
      </c>
      <c r="B897" s="9" t="s">
        <v>2913</v>
      </c>
    </row>
    <row r="898" spans="1:2" x14ac:dyDescent="0.25">
      <c r="A898" s="9" t="s">
        <v>5789</v>
      </c>
      <c r="B898" s="9" t="s">
        <v>5788</v>
      </c>
    </row>
    <row r="899" spans="1:2" x14ac:dyDescent="0.25">
      <c r="A899" s="9" t="s">
        <v>5787</v>
      </c>
      <c r="B899" s="9" t="s">
        <v>5786</v>
      </c>
    </row>
    <row r="900" spans="1:2" x14ac:dyDescent="0.25">
      <c r="A900" s="9" t="s">
        <v>5785</v>
      </c>
      <c r="B900" s="9" t="s">
        <v>5784</v>
      </c>
    </row>
    <row r="901" spans="1:2" x14ac:dyDescent="0.25">
      <c r="A901" s="9" t="s">
        <v>5783</v>
      </c>
      <c r="B901" s="9" t="s">
        <v>5782</v>
      </c>
    </row>
    <row r="902" spans="1:2" x14ac:dyDescent="0.25">
      <c r="A902" s="9" t="s">
        <v>5781</v>
      </c>
      <c r="B902" s="9" t="s">
        <v>2914</v>
      </c>
    </row>
    <row r="903" spans="1:2" x14ac:dyDescent="0.25">
      <c r="A903" s="9" t="s">
        <v>5780</v>
      </c>
      <c r="B903" s="9" t="s">
        <v>5779</v>
      </c>
    </row>
    <row r="904" spans="1:2" x14ac:dyDescent="0.25">
      <c r="A904" s="9" t="s">
        <v>5778</v>
      </c>
      <c r="B904" s="9" t="s">
        <v>5777</v>
      </c>
    </row>
    <row r="905" spans="1:2" x14ac:dyDescent="0.25">
      <c r="A905" s="9" t="s">
        <v>5776</v>
      </c>
      <c r="B905" s="9" t="s">
        <v>2915</v>
      </c>
    </row>
    <row r="906" spans="1:2" x14ac:dyDescent="0.25">
      <c r="A906" s="9" t="s">
        <v>5775</v>
      </c>
      <c r="B906" s="9" t="s">
        <v>2916</v>
      </c>
    </row>
    <row r="907" spans="1:2" x14ac:dyDescent="0.25">
      <c r="A907" s="9" t="s">
        <v>5774</v>
      </c>
      <c r="B907" s="9" t="s">
        <v>2917</v>
      </c>
    </row>
    <row r="908" spans="1:2" x14ac:dyDescent="0.25">
      <c r="A908" s="9" t="s">
        <v>5773</v>
      </c>
      <c r="B908" s="9" t="s">
        <v>5772</v>
      </c>
    </row>
    <row r="909" spans="1:2" x14ac:dyDescent="0.25">
      <c r="A909" s="9" t="s">
        <v>5771</v>
      </c>
      <c r="B909" s="9" t="s">
        <v>2918</v>
      </c>
    </row>
    <row r="910" spans="1:2" x14ac:dyDescent="0.25">
      <c r="A910" s="9" t="s">
        <v>5770</v>
      </c>
      <c r="B910" s="9" t="s">
        <v>2919</v>
      </c>
    </row>
    <row r="911" spans="1:2" x14ac:dyDescent="0.25">
      <c r="A911" s="9" t="s">
        <v>5769</v>
      </c>
      <c r="B911" s="9" t="s">
        <v>2920</v>
      </c>
    </row>
    <row r="912" spans="1:2" x14ac:dyDescent="0.25">
      <c r="A912" s="9" t="s">
        <v>5768</v>
      </c>
      <c r="B912" s="9" t="s">
        <v>5767</v>
      </c>
    </row>
    <row r="913" spans="1:2" x14ac:dyDescent="0.25">
      <c r="A913" s="9" t="s">
        <v>5766</v>
      </c>
      <c r="B913" s="9" t="s">
        <v>5765</v>
      </c>
    </row>
    <row r="914" spans="1:2" x14ac:dyDescent="0.25">
      <c r="A914" s="9" t="s">
        <v>5764</v>
      </c>
      <c r="B914" s="9" t="s">
        <v>5763</v>
      </c>
    </row>
    <row r="915" spans="1:2" x14ac:dyDescent="0.25">
      <c r="A915" s="9" t="s">
        <v>5762</v>
      </c>
      <c r="B915" s="9" t="s">
        <v>2921</v>
      </c>
    </row>
    <row r="916" spans="1:2" x14ac:dyDescent="0.25">
      <c r="A916" s="9" t="s">
        <v>5761</v>
      </c>
      <c r="B916" s="9" t="s">
        <v>2922</v>
      </c>
    </row>
    <row r="917" spans="1:2" x14ac:dyDescent="0.25">
      <c r="A917" s="9" t="s">
        <v>5760</v>
      </c>
      <c r="B917" s="9" t="s">
        <v>2923</v>
      </c>
    </row>
    <row r="918" spans="1:2" x14ac:dyDescent="0.25">
      <c r="A918" s="9" t="s">
        <v>5759</v>
      </c>
      <c r="B918" s="9" t="s">
        <v>2924</v>
      </c>
    </row>
    <row r="919" spans="1:2" x14ac:dyDescent="0.25">
      <c r="A919" s="9" t="s">
        <v>5758</v>
      </c>
      <c r="B919" s="9" t="s">
        <v>2925</v>
      </c>
    </row>
    <row r="920" spans="1:2" x14ac:dyDescent="0.25">
      <c r="A920" s="9" t="s">
        <v>5757</v>
      </c>
      <c r="B920" s="9" t="s">
        <v>2926</v>
      </c>
    </row>
    <row r="921" spans="1:2" x14ac:dyDescent="0.25">
      <c r="A921" s="9" t="s">
        <v>5756</v>
      </c>
      <c r="B921" s="9" t="s">
        <v>2927</v>
      </c>
    </row>
    <row r="922" spans="1:2" x14ac:dyDescent="0.25">
      <c r="A922" s="9" t="s">
        <v>5755</v>
      </c>
      <c r="B922" s="9" t="s">
        <v>2928</v>
      </c>
    </row>
    <row r="923" spans="1:2" x14ac:dyDescent="0.25">
      <c r="A923" s="9" t="s">
        <v>5754</v>
      </c>
      <c r="B923" s="9" t="s">
        <v>2929</v>
      </c>
    </row>
    <row r="924" spans="1:2" x14ac:dyDescent="0.25">
      <c r="A924" s="9" t="s">
        <v>5753</v>
      </c>
      <c r="B924" s="9" t="s">
        <v>2930</v>
      </c>
    </row>
    <row r="925" spans="1:2" x14ac:dyDescent="0.25">
      <c r="A925" s="9" t="s">
        <v>5752</v>
      </c>
      <c r="B925" s="9" t="s">
        <v>2931</v>
      </c>
    </row>
    <row r="926" spans="1:2" x14ac:dyDescent="0.25">
      <c r="A926" s="9" t="s">
        <v>5751</v>
      </c>
      <c r="B926" s="9" t="s">
        <v>2932</v>
      </c>
    </row>
    <row r="927" spans="1:2" x14ac:dyDescent="0.25">
      <c r="A927" s="9" t="s">
        <v>5750</v>
      </c>
      <c r="B927" s="9" t="s">
        <v>2933</v>
      </c>
    </row>
    <row r="928" spans="1:2" x14ac:dyDescent="0.25">
      <c r="A928" s="9" t="s">
        <v>5749</v>
      </c>
      <c r="B928" s="9" t="s">
        <v>2934</v>
      </c>
    </row>
    <row r="929" spans="1:2" x14ac:dyDescent="0.25">
      <c r="A929" s="9" t="s">
        <v>5748</v>
      </c>
      <c r="B929" s="9" t="s">
        <v>2935</v>
      </c>
    </row>
    <row r="930" spans="1:2" x14ac:dyDescent="0.25">
      <c r="A930" s="9" t="s">
        <v>5747</v>
      </c>
      <c r="B930" s="9" t="s">
        <v>2936</v>
      </c>
    </row>
    <row r="931" spans="1:2" x14ac:dyDescent="0.25">
      <c r="A931" s="9" t="s">
        <v>5746</v>
      </c>
      <c r="B931" s="9" t="s">
        <v>2937</v>
      </c>
    </row>
    <row r="932" spans="1:2" x14ac:dyDescent="0.25">
      <c r="A932" s="9" t="s">
        <v>5745</v>
      </c>
      <c r="B932" s="9" t="s">
        <v>2938</v>
      </c>
    </row>
    <row r="933" spans="1:2" x14ac:dyDescent="0.25">
      <c r="A933" s="9" t="s">
        <v>5744</v>
      </c>
      <c r="B933" s="9" t="s">
        <v>2939</v>
      </c>
    </row>
    <row r="934" spans="1:2" x14ac:dyDescent="0.25">
      <c r="A934" s="9" t="s">
        <v>5743</v>
      </c>
      <c r="B934" s="9" t="s">
        <v>2940</v>
      </c>
    </row>
    <row r="935" spans="1:2" x14ac:dyDescent="0.25">
      <c r="A935" s="9" t="s">
        <v>5742</v>
      </c>
      <c r="B935" s="9" t="s">
        <v>2941</v>
      </c>
    </row>
    <row r="936" spans="1:2" x14ac:dyDescent="0.25">
      <c r="A936" s="9" t="s">
        <v>5741</v>
      </c>
      <c r="B936" s="9" t="s">
        <v>2942</v>
      </c>
    </row>
    <row r="937" spans="1:2" x14ac:dyDescent="0.25">
      <c r="A937" s="9" t="s">
        <v>5740</v>
      </c>
      <c r="B937" s="9" t="s">
        <v>2943</v>
      </c>
    </row>
    <row r="938" spans="1:2" x14ac:dyDescent="0.25">
      <c r="A938" s="9" t="s">
        <v>5739</v>
      </c>
      <c r="B938" s="9" t="s">
        <v>2944</v>
      </c>
    </row>
    <row r="939" spans="1:2" x14ac:dyDescent="0.25">
      <c r="A939" s="9" t="s">
        <v>5738</v>
      </c>
      <c r="B939" s="9" t="s">
        <v>2945</v>
      </c>
    </row>
    <row r="940" spans="1:2" x14ac:dyDescent="0.25">
      <c r="A940" s="9" t="s">
        <v>5737</v>
      </c>
      <c r="B940" s="9" t="s">
        <v>2946</v>
      </c>
    </row>
    <row r="941" spans="1:2" x14ac:dyDescent="0.25">
      <c r="A941" s="9" t="s">
        <v>5736</v>
      </c>
      <c r="B941" s="9" t="s">
        <v>2947</v>
      </c>
    </row>
    <row r="942" spans="1:2" x14ac:dyDescent="0.25">
      <c r="A942" s="9" t="s">
        <v>5735</v>
      </c>
      <c r="B942" s="9" t="s">
        <v>2948</v>
      </c>
    </row>
    <row r="943" spans="1:2" x14ac:dyDescent="0.25">
      <c r="A943" s="9" t="s">
        <v>5734</v>
      </c>
      <c r="B943" s="9" t="s">
        <v>2949</v>
      </c>
    </row>
    <row r="944" spans="1:2" x14ac:dyDescent="0.25">
      <c r="A944" s="9" t="s">
        <v>5733</v>
      </c>
      <c r="B944" s="9" t="s">
        <v>2950</v>
      </c>
    </row>
    <row r="945" spans="1:2" x14ac:dyDescent="0.25">
      <c r="A945" s="9" t="s">
        <v>5732</v>
      </c>
      <c r="B945" s="9" t="s">
        <v>2950</v>
      </c>
    </row>
    <row r="946" spans="1:2" x14ac:dyDescent="0.25">
      <c r="A946" s="9" t="s">
        <v>5731</v>
      </c>
      <c r="B946" s="9" t="s">
        <v>2951</v>
      </c>
    </row>
    <row r="947" spans="1:2" x14ac:dyDescent="0.25">
      <c r="A947" s="9" t="s">
        <v>5730</v>
      </c>
      <c r="B947" s="9" t="s">
        <v>2952</v>
      </c>
    </row>
    <row r="948" spans="1:2" x14ac:dyDescent="0.25">
      <c r="A948" s="9" t="s">
        <v>5729</v>
      </c>
      <c r="B948" s="9" t="s">
        <v>2953</v>
      </c>
    </row>
    <row r="949" spans="1:2" x14ac:dyDescent="0.25">
      <c r="A949" s="9" t="s">
        <v>5728</v>
      </c>
      <c r="B949" s="9" t="s">
        <v>2954</v>
      </c>
    </row>
    <row r="950" spans="1:2" x14ac:dyDescent="0.25">
      <c r="A950" s="9" t="s">
        <v>5727</v>
      </c>
      <c r="B950" s="9" t="s">
        <v>2955</v>
      </c>
    </row>
    <row r="951" spans="1:2" x14ac:dyDescent="0.25">
      <c r="A951" s="9" t="s">
        <v>5726</v>
      </c>
      <c r="B951" s="9" t="s">
        <v>5725</v>
      </c>
    </row>
    <row r="952" spans="1:2" x14ac:dyDescent="0.25">
      <c r="A952" s="9" t="s">
        <v>5724</v>
      </c>
      <c r="B952" s="9" t="s">
        <v>5723</v>
      </c>
    </row>
    <row r="953" spans="1:2" x14ac:dyDescent="0.25">
      <c r="A953" s="9" t="s">
        <v>5722</v>
      </c>
      <c r="B953" s="9" t="s">
        <v>5721</v>
      </c>
    </row>
    <row r="954" spans="1:2" x14ac:dyDescent="0.25">
      <c r="A954" s="9" t="s">
        <v>5720</v>
      </c>
      <c r="B954" s="9" t="s">
        <v>5719</v>
      </c>
    </row>
    <row r="955" spans="1:2" x14ac:dyDescent="0.25">
      <c r="A955" s="9" t="s">
        <v>5718</v>
      </c>
      <c r="B955" s="9" t="s">
        <v>5717</v>
      </c>
    </row>
    <row r="956" spans="1:2" x14ac:dyDescent="0.25">
      <c r="A956" s="9" t="s">
        <v>5716</v>
      </c>
      <c r="B956" s="9" t="s">
        <v>5715</v>
      </c>
    </row>
    <row r="957" spans="1:2" x14ac:dyDescent="0.25">
      <c r="A957" s="9" t="s">
        <v>5714</v>
      </c>
      <c r="B957" s="9" t="s">
        <v>2956</v>
      </c>
    </row>
    <row r="958" spans="1:2" x14ac:dyDescent="0.25">
      <c r="A958" s="9" t="s">
        <v>5713</v>
      </c>
      <c r="B958" s="9" t="s">
        <v>2957</v>
      </c>
    </row>
    <row r="959" spans="1:2" x14ac:dyDescent="0.25">
      <c r="A959" s="9" t="s">
        <v>5712</v>
      </c>
      <c r="B959" s="9" t="s">
        <v>2958</v>
      </c>
    </row>
    <row r="960" spans="1:2" x14ac:dyDescent="0.25">
      <c r="A960" s="9" t="s">
        <v>5711</v>
      </c>
      <c r="B960" s="9" t="s">
        <v>2959</v>
      </c>
    </row>
    <row r="961" spans="1:2" x14ac:dyDescent="0.25">
      <c r="A961" s="9" t="s">
        <v>5710</v>
      </c>
      <c r="B961" s="9" t="s">
        <v>2960</v>
      </c>
    </row>
    <row r="962" spans="1:2" x14ac:dyDescent="0.25">
      <c r="A962" s="9" t="s">
        <v>5709</v>
      </c>
      <c r="B962" s="9" t="s">
        <v>2961</v>
      </c>
    </row>
    <row r="963" spans="1:2" x14ac:dyDescent="0.25">
      <c r="A963" s="9" t="s">
        <v>5708</v>
      </c>
      <c r="B963" s="9" t="s">
        <v>2962</v>
      </c>
    </row>
    <row r="964" spans="1:2" x14ac:dyDescent="0.25">
      <c r="A964" s="9" t="s">
        <v>5707</v>
      </c>
      <c r="B964" s="9" t="s">
        <v>2963</v>
      </c>
    </row>
    <row r="965" spans="1:2" x14ac:dyDescent="0.25">
      <c r="A965" s="9" t="s">
        <v>5706</v>
      </c>
      <c r="B965" s="9" t="s">
        <v>2964</v>
      </c>
    </row>
    <row r="966" spans="1:2" x14ac:dyDescent="0.25">
      <c r="A966" s="9" t="s">
        <v>5705</v>
      </c>
      <c r="B966" s="9" t="s">
        <v>2965</v>
      </c>
    </row>
    <row r="967" spans="1:2" x14ac:dyDescent="0.25">
      <c r="A967" s="9" t="s">
        <v>5704</v>
      </c>
      <c r="B967" s="9" t="s">
        <v>2966</v>
      </c>
    </row>
    <row r="968" spans="1:2" x14ac:dyDescent="0.25">
      <c r="A968" s="9" t="s">
        <v>5703</v>
      </c>
      <c r="B968" s="9" t="s">
        <v>2967</v>
      </c>
    </row>
    <row r="969" spans="1:2" x14ac:dyDescent="0.25">
      <c r="A969" s="9" t="s">
        <v>5702</v>
      </c>
      <c r="B969" s="9" t="s">
        <v>2968</v>
      </c>
    </row>
    <row r="970" spans="1:2" x14ac:dyDescent="0.25">
      <c r="A970" s="9" t="s">
        <v>5701</v>
      </c>
      <c r="B970" s="9" t="s">
        <v>2969</v>
      </c>
    </row>
    <row r="971" spans="1:2" x14ac:dyDescent="0.25">
      <c r="A971" s="9" t="s">
        <v>5700</v>
      </c>
      <c r="B971" s="9" t="s">
        <v>2970</v>
      </c>
    </row>
    <row r="972" spans="1:2" x14ac:dyDescent="0.25">
      <c r="A972" s="9" t="s">
        <v>5699</v>
      </c>
      <c r="B972" s="9" t="s">
        <v>2971</v>
      </c>
    </row>
    <row r="973" spans="1:2" x14ac:dyDescent="0.25">
      <c r="A973" s="9" t="s">
        <v>5698</v>
      </c>
      <c r="B973" s="9" t="s">
        <v>2972</v>
      </c>
    </row>
    <row r="974" spans="1:2" x14ac:dyDescent="0.25">
      <c r="A974" s="9" t="s">
        <v>5697</v>
      </c>
      <c r="B974" s="9" t="s">
        <v>2973</v>
      </c>
    </row>
    <row r="975" spans="1:2" x14ac:dyDescent="0.25">
      <c r="A975" s="9" t="s">
        <v>5696</v>
      </c>
      <c r="B975" s="9" t="s">
        <v>2974</v>
      </c>
    </row>
    <row r="976" spans="1:2" x14ac:dyDescent="0.25">
      <c r="A976" s="9" t="s">
        <v>5695</v>
      </c>
      <c r="B976" s="9" t="s">
        <v>2975</v>
      </c>
    </row>
    <row r="977" spans="1:2" x14ac:dyDescent="0.25">
      <c r="A977" s="9" t="s">
        <v>5694</v>
      </c>
      <c r="B977" s="9" t="s">
        <v>2976</v>
      </c>
    </row>
    <row r="978" spans="1:2" x14ac:dyDescent="0.25">
      <c r="A978" s="9" t="s">
        <v>5693</v>
      </c>
      <c r="B978" s="9" t="s">
        <v>2977</v>
      </c>
    </row>
    <row r="979" spans="1:2" x14ac:dyDescent="0.25">
      <c r="A979" s="9" t="s">
        <v>5692</v>
      </c>
      <c r="B979" s="9" t="s">
        <v>2978</v>
      </c>
    </row>
    <row r="980" spans="1:2" x14ac:dyDescent="0.25">
      <c r="A980" s="9" t="s">
        <v>5691</v>
      </c>
      <c r="B980" s="9" t="s">
        <v>2979</v>
      </c>
    </row>
    <row r="981" spans="1:2" x14ac:dyDescent="0.25">
      <c r="A981" s="9" t="s">
        <v>5690</v>
      </c>
      <c r="B981" s="9" t="s">
        <v>2980</v>
      </c>
    </row>
    <row r="982" spans="1:2" x14ac:dyDescent="0.25">
      <c r="A982" s="9" t="s">
        <v>5689</v>
      </c>
      <c r="B982" s="9" t="s">
        <v>2981</v>
      </c>
    </row>
    <row r="983" spans="1:2" x14ac:dyDescent="0.25">
      <c r="A983" s="9" t="s">
        <v>5688</v>
      </c>
      <c r="B983" s="9" t="s">
        <v>2982</v>
      </c>
    </row>
    <row r="984" spans="1:2" x14ac:dyDescent="0.25">
      <c r="A984" s="9" t="s">
        <v>5687</v>
      </c>
      <c r="B984" s="9" t="s">
        <v>2983</v>
      </c>
    </row>
    <row r="985" spans="1:2" x14ac:dyDescent="0.25">
      <c r="A985" s="9" t="s">
        <v>5686</v>
      </c>
      <c r="B985" s="9" t="s">
        <v>2984</v>
      </c>
    </row>
    <row r="986" spans="1:2" x14ac:dyDescent="0.25">
      <c r="A986" s="9" t="s">
        <v>5685</v>
      </c>
      <c r="B986" s="9" t="s">
        <v>2985</v>
      </c>
    </row>
    <row r="987" spans="1:2" x14ac:dyDescent="0.25">
      <c r="A987" s="9" t="s">
        <v>5684</v>
      </c>
      <c r="B987" s="9" t="s">
        <v>2986</v>
      </c>
    </row>
    <row r="988" spans="1:2" x14ac:dyDescent="0.25">
      <c r="A988" s="9" t="s">
        <v>5683</v>
      </c>
      <c r="B988" s="9" t="s">
        <v>2987</v>
      </c>
    </row>
    <row r="989" spans="1:2" x14ac:dyDescent="0.25">
      <c r="A989" s="9" t="s">
        <v>5682</v>
      </c>
      <c r="B989" s="9" t="s">
        <v>2988</v>
      </c>
    </row>
    <row r="990" spans="1:2" x14ac:dyDescent="0.25">
      <c r="A990" s="9" t="s">
        <v>5681</v>
      </c>
      <c r="B990" s="9" t="s">
        <v>5680</v>
      </c>
    </row>
    <row r="991" spans="1:2" x14ac:dyDescent="0.25">
      <c r="A991" s="9" t="s">
        <v>5679</v>
      </c>
      <c r="B991" s="9" t="s">
        <v>5678</v>
      </c>
    </row>
    <row r="992" spans="1:2" x14ac:dyDescent="0.25">
      <c r="A992" s="9" t="s">
        <v>5677</v>
      </c>
      <c r="B992" s="9" t="s">
        <v>2989</v>
      </c>
    </row>
    <row r="993" spans="1:2" x14ac:dyDescent="0.25">
      <c r="A993" s="9" t="s">
        <v>5676</v>
      </c>
      <c r="B993" s="9" t="s">
        <v>2990</v>
      </c>
    </row>
    <row r="994" spans="1:2" x14ac:dyDescent="0.25">
      <c r="A994" s="9" t="s">
        <v>5675</v>
      </c>
      <c r="B994" s="9" t="s">
        <v>2991</v>
      </c>
    </row>
    <row r="995" spans="1:2" x14ac:dyDescent="0.25">
      <c r="A995" s="9" t="s">
        <v>5674</v>
      </c>
      <c r="B995" s="9" t="s">
        <v>5673</v>
      </c>
    </row>
    <row r="996" spans="1:2" x14ac:dyDescent="0.25">
      <c r="A996" s="9" t="s">
        <v>5672</v>
      </c>
      <c r="B996" s="9" t="s">
        <v>2992</v>
      </c>
    </row>
    <row r="997" spans="1:2" x14ac:dyDescent="0.25">
      <c r="A997" s="9" t="s">
        <v>5671</v>
      </c>
      <c r="B997" s="9" t="s">
        <v>2993</v>
      </c>
    </row>
    <row r="998" spans="1:2" x14ac:dyDescent="0.25">
      <c r="A998" s="9" t="s">
        <v>5670</v>
      </c>
      <c r="B998" s="9" t="s">
        <v>2994</v>
      </c>
    </row>
    <row r="999" spans="1:2" x14ac:dyDescent="0.25">
      <c r="A999" s="9" t="s">
        <v>5669</v>
      </c>
      <c r="B999" s="9" t="s">
        <v>2995</v>
      </c>
    </row>
    <row r="1000" spans="1:2" x14ac:dyDescent="0.25">
      <c r="A1000" s="9" t="s">
        <v>5668</v>
      </c>
      <c r="B1000" s="9" t="s">
        <v>5667</v>
      </c>
    </row>
    <row r="1001" spans="1:2" x14ac:dyDescent="0.25">
      <c r="A1001" s="9" t="s">
        <v>5666</v>
      </c>
      <c r="B1001" s="9" t="s">
        <v>5665</v>
      </c>
    </row>
    <row r="1002" spans="1:2" x14ac:dyDescent="0.25">
      <c r="A1002" s="9" t="s">
        <v>5664</v>
      </c>
      <c r="B1002" s="9" t="s">
        <v>2996</v>
      </c>
    </row>
    <row r="1003" spans="1:2" x14ac:dyDescent="0.25">
      <c r="A1003" s="9" t="s">
        <v>5663</v>
      </c>
      <c r="B1003" s="9" t="s">
        <v>2997</v>
      </c>
    </row>
    <row r="1004" spans="1:2" x14ac:dyDescent="0.25">
      <c r="A1004" s="9" t="s">
        <v>5662</v>
      </c>
      <c r="B1004" s="9" t="s">
        <v>2998</v>
      </c>
    </row>
    <row r="1005" spans="1:2" x14ac:dyDescent="0.25">
      <c r="A1005" s="9" t="s">
        <v>5661</v>
      </c>
      <c r="B1005" s="9" t="s">
        <v>2999</v>
      </c>
    </row>
    <row r="1006" spans="1:2" x14ac:dyDescent="0.25">
      <c r="A1006" s="9" t="s">
        <v>5660</v>
      </c>
      <c r="B1006" s="9" t="s">
        <v>3000</v>
      </c>
    </row>
    <row r="1007" spans="1:2" x14ac:dyDescent="0.25">
      <c r="A1007" s="9" t="s">
        <v>5659</v>
      </c>
      <c r="B1007" s="9" t="s">
        <v>3001</v>
      </c>
    </row>
    <row r="1008" spans="1:2" x14ac:dyDescent="0.25">
      <c r="A1008" s="9" t="s">
        <v>5658</v>
      </c>
      <c r="B1008" s="9" t="s">
        <v>3002</v>
      </c>
    </row>
    <row r="1009" spans="1:2" x14ac:dyDescent="0.25">
      <c r="A1009" s="9" t="s">
        <v>5657</v>
      </c>
      <c r="B1009" s="9" t="s">
        <v>3003</v>
      </c>
    </row>
    <row r="1010" spans="1:2" x14ac:dyDescent="0.25">
      <c r="A1010" s="9" t="s">
        <v>5656</v>
      </c>
      <c r="B1010" s="9" t="s">
        <v>3004</v>
      </c>
    </row>
    <row r="1011" spans="1:2" x14ac:dyDescent="0.25">
      <c r="A1011" s="9" t="s">
        <v>5655</v>
      </c>
      <c r="B1011" s="9" t="s">
        <v>3005</v>
      </c>
    </row>
    <row r="1012" spans="1:2" x14ac:dyDescent="0.25">
      <c r="A1012" s="9" t="s">
        <v>5654</v>
      </c>
      <c r="B1012" s="9" t="s">
        <v>5653</v>
      </c>
    </row>
    <row r="1013" spans="1:2" x14ac:dyDescent="0.25">
      <c r="A1013" s="9" t="s">
        <v>5652</v>
      </c>
      <c r="B1013" s="9" t="s">
        <v>3006</v>
      </c>
    </row>
    <row r="1014" spans="1:2" x14ac:dyDescent="0.25">
      <c r="A1014" s="9" t="s">
        <v>5651</v>
      </c>
      <c r="B1014" s="9" t="s">
        <v>3007</v>
      </c>
    </row>
    <row r="1015" spans="1:2" x14ac:dyDescent="0.25">
      <c r="A1015" s="9" t="s">
        <v>5650</v>
      </c>
      <c r="B1015" s="9" t="s">
        <v>3008</v>
      </c>
    </row>
    <row r="1016" spans="1:2" x14ac:dyDescent="0.25">
      <c r="A1016" s="9" t="s">
        <v>5649</v>
      </c>
      <c r="B1016" s="9" t="s">
        <v>3009</v>
      </c>
    </row>
    <row r="1017" spans="1:2" x14ac:dyDescent="0.25">
      <c r="A1017" s="9" t="s">
        <v>5648</v>
      </c>
      <c r="B1017" s="9" t="s">
        <v>3010</v>
      </c>
    </row>
    <row r="1018" spans="1:2" x14ac:dyDescent="0.25">
      <c r="A1018" s="9" t="s">
        <v>5647</v>
      </c>
      <c r="B1018" s="9" t="s">
        <v>3011</v>
      </c>
    </row>
    <row r="1019" spans="1:2" x14ac:dyDescent="0.25">
      <c r="A1019" s="9" t="s">
        <v>5646</v>
      </c>
      <c r="B1019" s="9" t="s">
        <v>3012</v>
      </c>
    </row>
    <row r="1020" spans="1:2" x14ac:dyDescent="0.25">
      <c r="A1020" s="9" t="s">
        <v>5645</v>
      </c>
      <c r="B1020" s="9" t="s">
        <v>3013</v>
      </c>
    </row>
    <row r="1021" spans="1:2" x14ac:dyDescent="0.25">
      <c r="A1021" s="9" t="s">
        <v>5644</v>
      </c>
      <c r="B1021" s="9" t="s">
        <v>3014</v>
      </c>
    </row>
    <row r="1022" spans="1:2" x14ac:dyDescent="0.25">
      <c r="A1022" s="9" t="s">
        <v>5643</v>
      </c>
      <c r="B1022" s="9" t="s">
        <v>3015</v>
      </c>
    </row>
    <row r="1023" spans="1:2" x14ac:dyDescent="0.25">
      <c r="A1023" s="9" t="s">
        <v>5642</v>
      </c>
      <c r="B1023" s="9" t="s">
        <v>3016</v>
      </c>
    </row>
    <row r="1024" spans="1:2" x14ac:dyDescent="0.25">
      <c r="A1024" s="9" t="s">
        <v>5641</v>
      </c>
      <c r="B1024" s="9" t="s">
        <v>3017</v>
      </c>
    </row>
    <row r="1025" spans="1:2" x14ac:dyDescent="0.25">
      <c r="A1025" s="9" t="s">
        <v>5640</v>
      </c>
      <c r="B1025" s="9" t="s">
        <v>3018</v>
      </c>
    </row>
    <row r="1026" spans="1:2" x14ac:dyDescent="0.25">
      <c r="A1026" s="9" t="s">
        <v>5639</v>
      </c>
      <c r="B1026" s="9" t="s">
        <v>3019</v>
      </c>
    </row>
    <row r="1027" spans="1:2" x14ac:dyDescent="0.25">
      <c r="A1027" s="9" t="s">
        <v>5638</v>
      </c>
      <c r="B1027" s="9" t="s">
        <v>3020</v>
      </c>
    </row>
    <row r="1028" spans="1:2" x14ac:dyDescent="0.25">
      <c r="A1028" s="9" t="s">
        <v>5637</v>
      </c>
      <c r="B1028" s="9" t="s">
        <v>3021</v>
      </c>
    </row>
    <row r="1029" spans="1:2" x14ac:dyDescent="0.25">
      <c r="A1029" s="9" t="s">
        <v>5636</v>
      </c>
      <c r="B1029" s="9" t="s">
        <v>3022</v>
      </c>
    </row>
    <row r="1030" spans="1:2" x14ac:dyDescent="0.25">
      <c r="A1030" s="9" t="s">
        <v>5635</v>
      </c>
      <c r="B1030" s="9" t="s">
        <v>3023</v>
      </c>
    </row>
    <row r="1031" spans="1:2" x14ac:dyDescent="0.25">
      <c r="A1031" s="9" t="s">
        <v>5634</v>
      </c>
      <c r="B1031" s="9" t="s">
        <v>3024</v>
      </c>
    </row>
    <row r="1032" spans="1:2" x14ac:dyDescent="0.25">
      <c r="A1032" s="9" t="s">
        <v>5633</v>
      </c>
      <c r="B1032" s="9" t="s">
        <v>3025</v>
      </c>
    </row>
    <row r="1033" spans="1:2" x14ac:dyDescent="0.25">
      <c r="A1033" s="9" t="s">
        <v>5632</v>
      </c>
      <c r="B1033" s="9" t="s">
        <v>3026</v>
      </c>
    </row>
    <row r="1034" spans="1:2" x14ac:dyDescent="0.25">
      <c r="A1034" s="9" t="s">
        <v>5631</v>
      </c>
      <c r="B1034" s="9" t="s">
        <v>3027</v>
      </c>
    </row>
    <row r="1035" spans="1:2" x14ac:dyDescent="0.25">
      <c r="A1035" s="9" t="s">
        <v>5630</v>
      </c>
      <c r="B1035" s="9" t="s">
        <v>3028</v>
      </c>
    </row>
    <row r="1036" spans="1:2" x14ac:dyDescent="0.25">
      <c r="A1036" s="9" t="s">
        <v>5629</v>
      </c>
      <c r="B1036" s="9" t="s">
        <v>5628</v>
      </c>
    </row>
    <row r="1037" spans="1:2" x14ac:dyDescent="0.25">
      <c r="A1037" s="9" t="s">
        <v>5627</v>
      </c>
      <c r="B1037" s="9" t="s">
        <v>5626</v>
      </c>
    </row>
    <row r="1038" spans="1:2" x14ac:dyDescent="0.25">
      <c r="A1038" s="9" t="s">
        <v>5625</v>
      </c>
      <c r="B1038" s="9" t="s">
        <v>3029</v>
      </c>
    </row>
    <row r="1039" spans="1:2" x14ac:dyDescent="0.25">
      <c r="A1039" s="9" t="s">
        <v>5624</v>
      </c>
      <c r="B1039" s="9" t="s">
        <v>3030</v>
      </c>
    </row>
    <row r="1040" spans="1:2" x14ac:dyDescent="0.25">
      <c r="A1040" s="9" t="s">
        <v>5623</v>
      </c>
      <c r="B1040" s="9" t="s">
        <v>5622</v>
      </c>
    </row>
    <row r="1041" spans="1:2" x14ac:dyDescent="0.25">
      <c r="A1041" s="9" t="s">
        <v>5621</v>
      </c>
      <c r="B1041" s="9" t="s">
        <v>3031</v>
      </c>
    </row>
    <row r="1042" spans="1:2" x14ac:dyDescent="0.25">
      <c r="A1042" s="9" t="s">
        <v>5620</v>
      </c>
      <c r="B1042" s="9" t="s">
        <v>3032</v>
      </c>
    </row>
    <row r="1043" spans="1:2" x14ac:dyDescent="0.25">
      <c r="A1043" s="9" t="s">
        <v>5619</v>
      </c>
      <c r="B1043" s="9" t="s">
        <v>3033</v>
      </c>
    </row>
    <row r="1044" spans="1:2" x14ac:dyDescent="0.25">
      <c r="A1044" s="9" t="s">
        <v>5618</v>
      </c>
      <c r="B1044" s="9" t="s">
        <v>5617</v>
      </c>
    </row>
    <row r="1045" spans="1:2" x14ac:dyDescent="0.25">
      <c r="A1045" s="9" t="s">
        <v>5616</v>
      </c>
      <c r="B1045" s="9" t="s">
        <v>3034</v>
      </c>
    </row>
    <row r="1046" spans="1:2" x14ac:dyDescent="0.25">
      <c r="A1046" s="9" t="s">
        <v>5615</v>
      </c>
      <c r="B1046" s="9" t="s">
        <v>3035</v>
      </c>
    </row>
    <row r="1047" spans="1:2" x14ac:dyDescent="0.25">
      <c r="A1047" s="9" t="s">
        <v>5614</v>
      </c>
      <c r="B1047" s="9" t="s">
        <v>3036</v>
      </c>
    </row>
    <row r="1048" spans="1:2" x14ac:dyDescent="0.25">
      <c r="A1048" s="9" t="s">
        <v>5613</v>
      </c>
      <c r="B1048" s="9" t="s">
        <v>3037</v>
      </c>
    </row>
    <row r="1049" spans="1:2" x14ac:dyDescent="0.25">
      <c r="A1049" s="9" t="s">
        <v>5612</v>
      </c>
      <c r="B1049" s="9" t="s">
        <v>5611</v>
      </c>
    </row>
    <row r="1050" spans="1:2" x14ac:dyDescent="0.25">
      <c r="A1050" s="9" t="s">
        <v>5610</v>
      </c>
      <c r="B1050" s="9" t="s">
        <v>5609</v>
      </c>
    </row>
    <row r="1051" spans="1:2" x14ac:dyDescent="0.25">
      <c r="A1051" s="9" t="s">
        <v>5608</v>
      </c>
      <c r="B1051" s="9" t="s">
        <v>3038</v>
      </c>
    </row>
    <row r="1052" spans="1:2" x14ac:dyDescent="0.25">
      <c r="A1052" s="9" t="s">
        <v>5607</v>
      </c>
      <c r="B1052" s="9" t="s">
        <v>5606</v>
      </c>
    </row>
    <row r="1053" spans="1:2" x14ac:dyDescent="0.25">
      <c r="A1053" s="9" t="s">
        <v>5605</v>
      </c>
      <c r="B1053" s="9" t="s">
        <v>5604</v>
      </c>
    </row>
    <row r="1054" spans="1:2" x14ac:dyDescent="0.25">
      <c r="A1054" s="9" t="s">
        <v>5603</v>
      </c>
      <c r="B1054" s="9" t="s">
        <v>3039</v>
      </c>
    </row>
    <row r="1055" spans="1:2" x14ac:dyDescent="0.25">
      <c r="A1055" s="9" t="s">
        <v>5602</v>
      </c>
      <c r="B1055" s="9" t="s">
        <v>3040</v>
      </c>
    </row>
    <row r="1056" spans="1:2" x14ac:dyDescent="0.25">
      <c r="A1056" s="9" t="s">
        <v>5601</v>
      </c>
      <c r="B1056" s="9" t="s">
        <v>3041</v>
      </c>
    </row>
    <row r="1057" spans="1:2" x14ac:dyDescent="0.25">
      <c r="A1057" s="9" t="s">
        <v>5600</v>
      </c>
      <c r="B1057" s="9" t="s">
        <v>3042</v>
      </c>
    </row>
    <row r="1058" spans="1:2" x14ac:dyDescent="0.25">
      <c r="A1058" s="9" t="s">
        <v>5599</v>
      </c>
      <c r="B1058" s="9" t="s">
        <v>3043</v>
      </c>
    </row>
    <row r="1059" spans="1:2" x14ac:dyDescent="0.25">
      <c r="A1059" s="9" t="s">
        <v>5598</v>
      </c>
      <c r="B1059" s="9" t="s">
        <v>3044</v>
      </c>
    </row>
    <row r="1060" spans="1:2" x14ac:dyDescent="0.25">
      <c r="A1060" s="9" t="s">
        <v>5597</v>
      </c>
      <c r="B1060" s="9" t="s">
        <v>3045</v>
      </c>
    </row>
    <row r="1061" spans="1:2" x14ac:dyDescent="0.25">
      <c r="A1061" s="9" t="s">
        <v>5596</v>
      </c>
      <c r="B1061" s="9" t="s">
        <v>3046</v>
      </c>
    </row>
    <row r="1062" spans="1:2" x14ac:dyDescent="0.25">
      <c r="A1062" s="9" t="s">
        <v>5595</v>
      </c>
      <c r="B1062" s="9" t="s">
        <v>3047</v>
      </c>
    </row>
    <row r="1063" spans="1:2" x14ac:dyDescent="0.25">
      <c r="A1063" s="9" t="s">
        <v>5594</v>
      </c>
      <c r="B1063" s="9" t="s">
        <v>3048</v>
      </c>
    </row>
    <row r="1064" spans="1:2" x14ac:dyDescent="0.25">
      <c r="A1064" s="9" t="s">
        <v>5593</v>
      </c>
      <c r="B1064" s="9" t="s">
        <v>3049</v>
      </c>
    </row>
    <row r="1065" spans="1:2" x14ac:dyDescent="0.25">
      <c r="A1065" s="9" t="s">
        <v>5592</v>
      </c>
      <c r="B1065" s="9" t="s">
        <v>3050</v>
      </c>
    </row>
    <row r="1066" spans="1:2" x14ac:dyDescent="0.25">
      <c r="A1066" s="9" t="s">
        <v>5591</v>
      </c>
      <c r="B1066" s="9" t="s">
        <v>3051</v>
      </c>
    </row>
    <row r="1067" spans="1:2" x14ac:dyDescent="0.25">
      <c r="A1067" s="9" t="s">
        <v>5590</v>
      </c>
      <c r="B1067" s="9" t="s">
        <v>3052</v>
      </c>
    </row>
    <row r="1068" spans="1:2" x14ac:dyDescent="0.25">
      <c r="A1068" s="9" t="s">
        <v>5589</v>
      </c>
      <c r="B1068" s="9" t="s">
        <v>3053</v>
      </c>
    </row>
    <row r="1069" spans="1:2" x14ac:dyDescent="0.25">
      <c r="A1069" s="9" t="s">
        <v>5588</v>
      </c>
      <c r="B1069" s="9" t="s">
        <v>3054</v>
      </c>
    </row>
    <row r="1070" spans="1:2" x14ac:dyDescent="0.25">
      <c r="A1070" s="9" t="s">
        <v>5587</v>
      </c>
      <c r="B1070" s="9" t="s">
        <v>3055</v>
      </c>
    </row>
    <row r="1071" spans="1:2" x14ac:dyDescent="0.25">
      <c r="A1071" s="9" t="s">
        <v>5586</v>
      </c>
      <c r="B1071" s="9" t="s">
        <v>3056</v>
      </c>
    </row>
    <row r="1072" spans="1:2" x14ac:dyDescent="0.25">
      <c r="A1072" s="9" t="s">
        <v>5585</v>
      </c>
      <c r="B1072" s="9" t="s">
        <v>3057</v>
      </c>
    </row>
    <row r="1073" spans="1:2" x14ac:dyDescent="0.25">
      <c r="A1073" s="9" t="s">
        <v>5584</v>
      </c>
      <c r="B1073" s="9" t="s">
        <v>5583</v>
      </c>
    </row>
    <row r="1074" spans="1:2" x14ac:dyDescent="0.25">
      <c r="A1074" s="9" t="s">
        <v>5582</v>
      </c>
      <c r="B1074" s="9" t="s">
        <v>5581</v>
      </c>
    </row>
    <row r="1075" spans="1:2" x14ac:dyDescent="0.25">
      <c r="A1075" s="9" t="s">
        <v>5580</v>
      </c>
      <c r="B1075" s="9" t="s">
        <v>5579</v>
      </c>
    </row>
    <row r="1076" spans="1:2" x14ac:dyDescent="0.25">
      <c r="A1076" s="9" t="s">
        <v>5578</v>
      </c>
      <c r="B1076" s="9" t="s">
        <v>5577</v>
      </c>
    </row>
    <row r="1077" spans="1:2" x14ac:dyDescent="0.25">
      <c r="A1077" s="9" t="s">
        <v>5576</v>
      </c>
      <c r="B1077" s="9" t="s">
        <v>5575</v>
      </c>
    </row>
    <row r="1078" spans="1:2" x14ac:dyDescent="0.25">
      <c r="A1078" s="9" t="s">
        <v>5574</v>
      </c>
      <c r="B1078" s="9" t="s">
        <v>5573</v>
      </c>
    </row>
    <row r="1079" spans="1:2" x14ac:dyDescent="0.25">
      <c r="A1079" s="9" t="s">
        <v>5572</v>
      </c>
      <c r="B1079" s="9" t="s">
        <v>3058</v>
      </c>
    </row>
    <row r="1080" spans="1:2" x14ac:dyDescent="0.25">
      <c r="A1080" s="9" t="s">
        <v>5571</v>
      </c>
      <c r="B1080" s="9" t="s">
        <v>5570</v>
      </c>
    </row>
    <row r="1081" spans="1:2" x14ac:dyDescent="0.25">
      <c r="A1081" s="9" t="s">
        <v>5569</v>
      </c>
      <c r="B1081" s="9" t="s">
        <v>5568</v>
      </c>
    </row>
    <row r="1082" spans="1:2" x14ac:dyDescent="0.25">
      <c r="A1082" s="9" t="s">
        <v>5567</v>
      </c>
      <c r="B1082" s="9" t="s">
        <v>5566</v>
      </c>
    </row>
    <row r="1083" spans="1:2" x14ac:dyDescent="0.25">
      <c r="A1083" s="9" t="s">
        <v>5565</v>
      </c>
      <c r="B1083" s="9" t="s">
        <v>5564</v>
      </c>
    </row>
    <row r="1084" spans="1:2" x14ac:dyDescent="0.25">
      <c r="A1084" s="9" t="s">
        <v>5563</v>
      </c>
      <c r="B1084" s="9" t="s">
        <v>5562</v>
      </c>
    </row>
    <row r="1085" spans="1:2" x14ac:dyDescent="0.25">
      <c r="A1085" s="9" t="s">
        <v>5561</v>
      </c>
      <c r="B1085" s="9" t="s">
        <v>5560</v>
      </c>
    </row>
    <row r="1086" spans="1:2" x14ac:dyDescent="0.25">
      <c r="A1086" s="9" t="s">
        <v>5559</v>
      </c>
      <c r="B1086" s="9" t="s">
        <v>5558</v>
      </c>
    </row>
    <row r="1087" spans="1:2" x14ac:dyDescent="0.25">
      <c r="A1087" s="9" t="s">
        <v>5557</v>
      </c>
      <c r="B1087" s="9" t="s">
        <v>5556</v>
      </c>
    </row>
    <row r="1088" spans="1:2" x14ac:dyDescent="0.25">
      <c r="A1088" s="9" t="s">
        <v>5555</v>
      </c>
      <c r="B1088" s="9" t="s">
        <v>5554</v>
      </c>
    </row>
    <row r="1089" spans="1:2" x14ac:dyDescent="0.25">
      <c r="A1089" s="9" t="s">
        <v>5553</v>
      </c>
      <c r="B1089" s="9" t="s">
        <v>5552</v>
      </c>
    </row>
    <row r="1090" spans="1:2" x14ac:dyDescent="0.25">
      <c r="A1090" s="9" t="s">
        <v>5551</v>
      </c>
      <c r="B1090" s="9" t="s">
        <v>5550</v>
      </c>
    </row>
    <row r="1091" spans="1:2" x14ac:dyDescent="0.25">
      <c r="A1091" s="9" t="s">
        <v>5549</v>
      </c>
      <c r="B1091" s="9" t="s">
        <v>5548</v>
      </c>
    </row>
    <row r="1092" spans="1:2" x14ac:dyDescent="0.25">
      <c r="A1092" s="9" t="s">
        <v>5547</v>
      </c>
      <c r="B1092" s="9" t="s">
        <v>5546</v>
      </c>
    </row>
    <row r="1093" spans="1:2" x14ac:dyDescent="0.25">
      <c r="A1093" s="9" t="s">
        <v>5545</v>
      </c>
      <c r="B1093" s="9" t="s">
        <v>5544</v>
      </c>
    </row>
    <row r="1094" spans="1:2" x14ac:dyDescent="0.25">
      <c r="A1094" s="9" t="s">
        <v>5543</v>
      </c>
      <c r="B1094" s="9" t="s">
        <v>5542</v>
      </c>
    </row>
    <row r="1095" spans="1:2" x14ac:dyDescent="0.25">
      <c r="A1095" s="9" t="s">
        <v>5541</v>
      </c>
      <c r="B1095" s="9" t="s">
        <v>5540</v>
      </c>
    </row>
    <row r="1096" spans="1:2" x14ac:dyDescent="0.25">
      <c r="A1096" s="9" t="s">
        <v>5539</v>
      </c>
      <c r="B1096" s="9" t="s">
        <v>5538</v>
      </c>
    </row>
    <row r="1097" spans="1:2" x14ac:dyDescent="0.25">
      <c r="A1097" s="9" t="s">
        <v>5537</v>
      </c>
      <c r="B1097" s="9" t="s">
        <v>5536</v>
      </c>
    </row>
    <row r="1098" spans="1:2" x14ac:dyDescent="0.25">
      <c r="A1098" s="9" t="s">
        <v>5535</v>
      </c>
      <c r="B1098" s="9" t="s">
        <v>5534</v>
      </c>
    </row>
    <row r="1099" spans="1:2" x14ac:dyDescent="0.25">
      <c r="A1099" s="9" t="s">
        <v>5533</v>
      </c>
      <c r="B1099" s="9" t="s">
        <v>3059</v>
      </c>
    </row>
    <row r="1100" spans="1:2" x14ac:dyDescent="0.25">
      <c r="A1100" s="9" t="s">
        <v>5532</v>
      </c>
      <c r="B1100" s="9" t="s">
        <v>3060</v>
      </c>
    </row>
    <row r="1101" spans="1:2" x14ac:dyDescent="0.25">
      <c r="A1101" s="9" t="s">
        <v>5531</v>
      </c>
      <c r="B1101" s="9" t="s">
        <v>3061</v>
      </c>
    </row>
    <row r="1102" spans="1:2" x14ac:dyDescent="0.25">
      <c r="A1102" s="9" t="s">
        <v>5530</v>
      </c>
      <c r="B1102" s="9" t="s">
        <v>5529</v>
      </c>
    </row>
    <row r="1103" spans="1:2" x14ac:dyDescent="0.25">
      <c r="A1103" s="9" t="s">
        <v>5528</v>
      </c>
      <c r="B1103" s="9" t="s">
        <v>3062</v>
      </c>
    </row>
    <row r="1104" spans="1:2" x14ac:dyDescent="0.25">
      <c r="A1104" s="9" t="s">
        <v>5527</v>
      </c>
      <c r="B1104" s="9" t="s">
        <v>5526</v>
      </c>
    </row>
    <row r="1105" spans="1:2" x14ac:dyDescent="0.25">
      <c r="A1105" s="9" t="s">
        <v>5525</v>
      </c>
      <c r="B1105" s="9" t="s">
        <v>5524</v>
      </c>
    </row>
    <row r="1106" spans="1:2" x14ac:dyDescent="0.25">
      <c r="A1106" s="9" t="s">
        <v>5523</v>
      </c>
      <c r="B1106" s="9" t="s">
        <v>3063</v>
      </c>
    </row>
    <row r="1107" spans="1:2" x14ac:dyDescent="0.25">
      <c r="A1107" s="9" t="s">
        <v>5522</v>
      </c>
      <c r="B1107" s="9" t="s">
        <v>3064</v>
      </c>
    </row>
    <row r="1108" spans="1:2" x14ac:dyDescent="0.25">
      <c r="A1108" s="9" t="s">
        <v>5521</v>
      </c>
      <c r="B1108" s="9" t="s">
        <v>5520</v>
      </c>
    </row>
    <row r="1109" spans="1:2" x14ac:dyDescent="0.25">
      <c r="A1109" s="9" t="s">
        <v>5519</v>
      </c>
      <c r="B1109" s="9" t="s">
        <v>3065</v>
      </c>
    </row>
    <row r="1110" spans="1:2" x14ac:dyDescent="0.25">
      <c r="A1110" s="9" t="s">
        <v>5518</v>
      </c>
      <c r="B1110" s="9" t="s">
        <v>5517</v>
      </c>
    </row>
    <row r="1111" spans="1:2" x14ac:dyDescent="0.25">
      <c r="A1111" s="9" t="s">
        <v>5516</v>
      </c>
      <c r="B1111" s="9" t="s">
        <v>3066</v>
      </c>
    </row>
    <row r="1112" spans="1:2" x14ac:dyDescent="0.25">
      <c r="A1112" s="9" t="s">
        <v>5515</v>
      </c>
      <c r="B1112" s="9" t="s">
        <v>3067</v>
      </c>
    </row>
    <row r="1113" spans="1:2" x14ac:dyDescent="0.25">
      <c r="A1113" s="9" t="s">
        <v>5514</v>
      </c>
      <c r="B1113" s="9" t="s">
        <v>3068</v>
      </c>
    </row>
    <row r="1114" spans="1:2" x14ac:dyDescent="0.25">
      <c r="A1114" s="9" t="s">
        <v>5513</v>
      </c>
      <c r="B1114" s="9" t="s">
        <v>3069</v>
      </c>
    </row>
    <row r="1115" spans="1:2" x14ac:dyDescent="0.25">
      <c r="A1115" s="9" t="s">
        <v>5512</v>
      </c>
      <c r="B1115" s="9" t="s">
        <v>3070</v>
      </c>
    </row>
    <row r="1116" spans="1:2" x14ac:dyDescent="0.25">
      <c r="A1116" s="9" t="s">
        <v>5511</v>
      </c>
      <c r="B1116" s="9" t="s">
        <v>5510</v>
      </c>
    </row>
    <row r="1117" spans="1:2" x14ac:dyDescent="0.25">
      <c r="A1117" s="9" t="s">
        <v>5509</v>
      </c>
      <c r="B1117" s="9" t="s">
        <v>5508</v>
      </c>
    </row>
    <row r="1118" spans="1:2" x14ac:dyDescent="0.25">
      <c r="A1118" s="9" t="s">
        <v>5507</v>
      </c>
      <c r="B1118" s="9" t="s">
        <v>3071</v>
      </c>
    </row>
    <row r="1119" spans="1:2" x14ac:dyDescent="0.25">
      <c r="A1119" s="9" t="s">
        <v>5506</v>
      </c>
      <c r="B1119" s="9" t="s">
        <v>5505</v>
      </c>
    </row>
    <row r="1120" spans="1:2" x14ac:dyDescent="0.25">
      <c r="A1120" s="9" t="s">
        <v>5504</v>
      </c>
      <c r="B1120" s="9" t="s">
        <v>3072</v>
      </c>
    </row>
    <row r="1121" spans="1:2" x14ac:dyDescent="0.25">
      <c r="A1121" s="9" t="s">
        <v>5503</v>
      </c>
      <c r="B1121" s="9" t="s">
        <v>3073</v>
      </c>
    </row>
    <row r="1122" spans="1:2" x14ac:dyDescent="0.25">
      <c r="A1122" s="9" t="s">
        <v>5502</v>
      </c>
      <c r="B1122" s="9" t="s">
        <v>3074</v>
      </c>
    </row>
    <row r="1123" spans="1:2" x14ac:dyDescent="0.25">
      <c r="A1123" s="9" t="s">
        <v>5501</v>
      </c>
      <c r="B1123" s="9" t="s">
        <v>3075</v>
      </c>
    </row>
    <row r="1124" spans="1:2" x14ac:dyDescent="0.25">
      <c r="A1124" s="9" t="s">
        <v>5500</v>
      </c>
      <c r="B1124" s="9" t="s">
        <v>3076</v>
      </c>
    </row>
    <row r="1125" spans="1:2" x14ac:dyDescent="0.25">
      <c r="A1125" s="9" t="s">
        <v>5499</v>
      </c>
      <c r="B1125" s="9" t="s">
        <v>3077</v>
      </c>
    </row>
    <row r="1126" spans="1:2" x14ac:dyDescent="0.25">
      <c r="A1126" s="9" t="s">
        <v>5498</v>
      </c>
      <c r="B1126" s="9" t="s">
        <v>3078</v>
      </c>
    </row>
    <row r="1127" spans="1:2" x14ac:dyDescent="0.25">
      <c r="A1127" s="9" t="s">
        <v>5497</v>
      </c>
      <c r="B1127" s="9" t="s">
        <v>3079</v>
      </c>
    </row>
    <row r="1128" spans="1:2" x14ac:dyDescent="0.25">
      <c r="A1128" s="9" t="s">
        <v>5496</v>
      </c>
      <c r="B1128" s="9" t="s">
        <v>3080</v>
      </c>
    </row>
    <row r="1129" spans="1:2" x14ac:dyDescent="0.25">
      <c r="A1129" s="9" t="s">
        <v>5495</v>
      </c>
      <c r="B1129" s="9" t="s">
        <v>3081</v>
      </c>
    </row>
    <row r="1130" spans="1:2" x14ac:dyDescent="0.25">
      <c r="A1130" s="9" t="s">
        <v>5494</v>
      </c>
      <c r="B1130" s="9" t="s">
        <v>3082</v>
      </c>
    </row>
    <row r="1131" spans="1:2" x14ac:dyDescent="0.25">
      <c r="A1131" s="9" t="s">
        <v>5493</v>
      </c>
      <c r="B1131" s="9" t="s">
        <v>3083</v>
      </c>
    </row>
    <row r="1132" spans="1:2" x14ac:dyDescent="0.25">
      <c r="A1132" s="9" t="s">
        <v>5492</v>
      </c>
      <c r="B1132" s="9" t="s">
        <v>3084</v>
      </c>
    </row>
    <row r="1133" spans="1:2" x14ac:dyDescent="0.25">
      <c r="A1133" s="9" t="s">
        <v>5491</v>
      </c>
      <c r="B1133" s="9" t="s">
        <v>3085</v>
      </c>
    </row>
    <row r="1134" spans="1:2" x14ac:dyDescent="0.25">
      <c r="A1134" s="9" t="s">
        <v>5490</v>
      </c>
      <c r="B1134" s="9" t="s">
        <v>3086</v>
      </c>
    </row>
    <row r="1135" spans="1:2" x14ac:dyDescent="0.25">
      <c r="A1135" s="9" t="s">
        <v>5489</v>
      </c>
      <c r="B1135" s="9" t="s">
        <v>3087</v>
      </c>
    </row>
    <row r="1136" spans="1:2" x14ac:dyDescent="0.25">
      <c r="A1136" s="9" t="s">
        <v>5488</v>
      </c>
      <c r="B1136" s="9" t="s">
        <v>3088</v>
      </c>
    </row>
    <row r="1137" spans="1:2" x14ac:dyDescent="0.25">
      <c r="A1137" s="9" t="s">
        <v>5487</v>
      </c>
      <c r="B1137" s="9" t="s">
        <v>3089</v>
      </c>
    </row>
    <row r="1138" spans="1:2" x14ac:dyDescent="0.25">
      <c r="A1138" s="9" t="s">
        <v>5486</v>
      </c>
      <c r="B1138" s="9" t="s">
        <v>5485</v>
      </c>
    </row>
    <row r="1139" spans="1:2" x14ac:dyDescent="0.25">
      <c r="A1139" s="9" t="s">
        <v>5484</v>
      </c>
      <c r="B1139" s="9" t="s">
        <v>3090</v>
      </c>
    </row>
    <row r="1140" spans="1:2" x14ac:dyDescent="0.25">
      <c r="A1140" s="9" t="s">
        <v>5483</v>
      </c>
      <c r="B1140" s="9" t="s">
        <v>3091</v>
      </c>
    </row>
    <row r="1141" spans="1:2" x14ac:dyDescent="0.25">
      <c r="A1141" s="9" t="s">
        <v>5482</v>
      </c>
      <c r="B1141" s="9" t="s">
        <v>5481</v>
      </c>
    </row>
    <row r="1142" spans="1:2" x14ac:dyDescent="0.25">
      <c r="A1142" s="9" t="s">
        <v>5480</v>
      </c>
      <c r="B1142" s="9" t="s">
        <v>5479</v>
      </c>
    </row>
    <row r="1143" spans="1:2" x14ac:dyDescent="0.25">
      <c r="A1143" s="9" t="s">
        <v>5478</v>
      </c>
      <c r="B1143" s="9" t="s">
        <v>5477</v>
      </c>
    </row>
    <row r="1144" spans="1:2" x14ac:dyDescent="0.25">
      <c r="A1144" s="9" t="s">
        <v>5476</v>
      </c>
      <c r="B1144" s="9" t="s">
        <v>5475</v>
      </c>
    </row>
    <row r="1145" spans="1:2" x14ac:dyDescent="0.25">
      <c r="A1145" s="9" t="s">
        <v>5474</v>
      </c>
      <c r="B1145" s="9" t="s">
        <v>5473</v>
      </c>
    </row>
    <row r="1146" spans="1:2" x14ac:dyDescent="0.25">
      <c r="A1146" s="9" t="s">
        <v>5472</v>
      </c>
      <c r="B1146" s="9" t="s">
        <v>5471</v>
      </c>
    </row>
    <row r="1147" spans="1:2" x14ac:dyDescent="0.25">
      <c r="A1147" s="9" t="s">
        <v>5470</v>
      </c>
      <c r="B1147" s="9" t="s">
        <v>5469</v>
      </c>
    </row>
    <row r="1148" spans="1:2" x14ac:dyDescent="0.25">
      <c r="A1148" s="9" t="s">
        <v>5468</v>
      </c>
      <c r="B1148" s="9" t="s">
        <v>3092</v>
      </c>
    </row>
    <row r="1149" spans="1:2" x14ac:dyDescent="0.25">
      <c r="A1149" s="9" t="s">
        <v>5467</v>
      </c>
      <c r="B1149" s="9" t="s">
        <v>3093</v>
      </c>
    </row>
    <row r="1150" spans="1:2" x14ac:dyDescent="0.25">
      <c r="A1150" s="9" t="s">
        <v>5466</v>
      </c>
      <c r="B1150" s="9" t="s">
        <v>3094</v>
      </c>
    </row>
    <row r="1151" spans="1:2" x14ac:dyDescent="0.25">
      <c r="A1151" s="9" t="s">
        <v>5465</v>
      </c>
      <c r="B1151" s="9" t="s">
        <v>3095</v>
      </c>
    </row>
    <row r="1152" spans="1:2" x14ac:dyDescent="0.25">
      <c r="A1152" s="9" t="s">
        <v>5464</v>
      </c>
      <c r="B1152" s="9" t="s">
        <v>3096</v>
      </c>
    </row>
    <row r="1153" spans="1:2" x14ac:dyDescent="0.25">
      <c r="A1153" s="9" t="s">
        <v>5463</v>
      </c>
      <c r="B1153" s="9" t="s">
        <v>3097</v>
      </c>
    </row>
    <row r="1154" spans="1:2" x14ac:dyDescent="0.25">
      <c r="A1154" s="9" t="s">
        <v>5462</v>
      </c>
      <c r="B1154" s="9" t="s">
        <v>3098</v>
      </c>
    </row>
    <row r="1155" spans="1:2" x14ac:dyDescent="0.25">
      <c r="A1155" s="9" t="s">
        <v>5461</v>
      </c>
      <c r="B1155" s="9" t="s">
        <v>3099</v>
      </c>
    </row>
    <row r="1156" spans="1:2" x14ac:dyDescent="0.25">
      <c r="A1156" s="9" t="s">
        <v>5460</v>
      </c>
      <c r="B1156" s="9" t="s">
        <v>5459</v>
      </c>
    </row>
    <row r="1157" spans="1:2" x14ac:dyDescent="0.25">
      <c r="A1157" s="9" t="s">
        <v>5458</v>
      </c>
      <c r="B1157" s="9" t="s">
        <v>3100</v>
      </c>
    </row>
    <row r="1158" spans="1:2" x14ac:dyDescent="0.25">
      <c r="A1158" s="9" t="s">
        <v>5457</v>
      </c>
      <c r="B1158" s="9" t="s">
        <v>3101</v>
      </c>
    </row>
    <row r="1159" spans="1:2" x14ac:dyDescent="0.25">
      <c r="A1159" s="9" t="s">
        <v>5456</v>
      </c>
      <c r="B1159" s="9" t="s">
        <v>5455</v>
      </c>
    </row>
    <row r="1160" spans="1:2" x14ac:dyDescent="0.25">
      <c r="A1160" s="9" t="s">
        <v>5454</v>
      </c>
      <c r="B1160" s="9" t="s">
        <v>5453</v>
      </c>
    </row>
    <row r="1161" spans="1:2" x14ac:dyDescent="0.25">
      <c r="A1161" s="9" t="s">
        <v>5452</v>
      </c>
      <c r="B1161" s="9" t="s">
        <v>3102</v>
      </c>
    </row>
    <row r="1162" spans="1:2" x14ac:dyDescent="0.25">
      <c r="A1162" s="9" t="s">
        <v>5451</v>
      </c>
      <c r="B1162" s="9" t="s">
        <v>3103</v>
      </c>
    </row>
    <row r="1163" spans="1:2" x14ac:dyDescent="0.25">
      <c r="A1163" s="9" t="s">
        <v>5450</v>
      </c>
      <c r="B1163" s="9" t="s">
        <v>3104</v>
      </c>
    </row>
    <row r="1164" spans="1:2" x14ac:dyDescent="0.25">
      <c r="A1164" s="9" t="s">
        <v>5449</v>
      </c>
      <c r="B1164" s="9" t="s">
        <v>3105</v>
      </c>
    </row>
    <row r="1165" spans="1:2" x14ac:dyDescent="0.25">
      <c r="A1165" s="9" t="s">
        <v>5448</v>
      </c>
      <c r="B1165" s="9" t="s">
        <v>5447</v>
      </c>
    </row>
    <row r="1166" spans="1:2" x14ac:dyDescent="0.25">
      <c r="A1166" s="9" t="s">
        <v>5446</v>
      </c>
      <c r="B1166" s="9" t="s">
        <v>3106</v>
      </c>
    </row>
    <row r="1167" spans="1:2" x14ac:dyDescent="0.25">
      <c r="A1167" s="9" t="s">
        <v>5445</v>
      </c>
      <c r="B1167" s="9" t="s">
        <v>3107</v>
      </c>
    </row>
    <row r="1168" spans="1:2" x14ac:dyDescent="0.25">
      <c r="A1168" s="9" t="s">
        <v>5444</v>
      </c>
      <c r="B1168" s="9" t="s">
        <v>3108</v>
      </c>
    </row>
    <row r="1169" spans="1:2" x14ac:dyDescent="0.25">
      <c r="A1169" s="9" t="s">
        <v>5443</v>
      </c>
      <c r="B1169" s="9" t="s">
        <v>3109</v>
      </c>
    </row>
    <row r="1170" spans="1:2" x14ac:dyDescent="0.25">
      <c r="A1170" s="9" t="s">
        <v>5442</v>
      </c>
      <c r="B1170" s="9" t="s">
        <v>3110</v>
      </c>
    </row>
    <row r="1171" spans="1:2" x14ac:dyDescent="0.25">
      <c r="A1171" s="9" t="s">
        <v>5441</v>
      </c>
      <c r="B1171" s="9" t="s">
        <v>3111</v>
      </c>
    </row>
    <row r="1172" spans="1:2" x14ac:dyDescent="0.25">
      <c r="A1172" s="9" t="s">
        <v>5440</v>
      </c>
      <c r="B1172" s="9" t="s">
        <v>3112</v>
      </c>
    </row>
    <row r="1173" spans="1:2" x14ac:dyDescent="0.25">
      <c r="A1173" s="9" t="s">
        <v>5439</v>
      </c>
      <c r="B1173" s="9" t="s">
        <v>3113</v>
      </c>
    </row>
    <row r="1174" spans="1:2" x14ac:dyDescent="0.25">
      <c r="A1174" s="9" t="s">
        <v>5438</v>
      </c>
      <c r="B1174" s="9" t="s">
        <v>3114</v>
      </c>
    </row>
    <row r="1175" spans="1:2" x14ac:dyDescent="0.25">
      <c r="A1175" s="9" t="s">
        <v>5437</v>
      </c>
      <c r="B1175" s="9" t="s">
        <v>3115</v>
      </c>
    </row>
    <row r="1176" spans="1:2" x14ac:dyDescent="0.25">
      <c r="A1176" s="9" t="s">
        <v>5436</v>
      </c>
      <c r="B1176" s="9" t="s">
        <v>3116</v>
      </c>
    </row>
    <row r="1177" spans="1:2" x14ac:dyDescent="0.25">
      <c r="A1177" s="9" t="s">
        <v>5435</v>
      </c>
      <c r="B1177" s="9" t="s">
        <v>3117</v>
      </c>
    </row>
    <row r="1178" spans="1:2" x14ac:dyDescent="0.25">
      <c r="A1178" s="9" t="s">
        <v>5434</v>
      </c>
      <c r="B1178" s="9" t="s">
        <v>3118</v>
      </c>
    </row>
    <row r="1179" spans="1:2" x14ac:dyDescent="0.25">
      <c r="A1179" s="9" t="s">
        <v>5433</v>
      </c>
      <c r="B1179" s="9" t="s">
        <v>3119</v>
      </c>
    </row>
    <row r="1180" spans="1:2" x14ac:dyDescent="0.25">
      <c r="A1180" s="9" t="s">
        <v>5432</v>
      </c>
      <c r="B1180" s="9" t="s">
        <v>3120</v>
      </c>
    </row>
    <row r="1181" spans="1:2" x14ac:dyDescent="0.25">
      <c r="A1181" s="9" t="s">
        <v>5431</v>
      </c>
      <c r="B1181" s="9" t="s">
        <v>3121</v>
      </c>
    </row>
    <row r="1182" spans="1:2" x14ac:dyDescent="0.25">
      <c r="A1182" s="9" t="s">
        <v>5430</v>
      </c>
      <c r="B1182" s="9" t="s">
        <v>3122</v>
      </c>
    </row>
    <row r="1183" spans="1:2" x14ac:dyDescent="0.25">
      <c r="A1183" s="9" t="s">
        <v>5429</v>
      </c>
      <c r="B1183" s="9" t="s">
        <v>3123</v>
      </c>
    </row>
    <row r="1184" spans="1:2" x14ac:dyDescent="0.25">
      <c r="A1184" s="9" t="s">
        <v>5428</v>
      </c>
      <c r="B1184" s="9" t="s">
        <v>3124</v>
      </c>
    </row>
    <row r="1185" spans="1:2" x14ac:dyDescent="0.25">
      <c r="A1185" s="9" t="s">
        <v>5427</v>
      </c>
      <c r="B1185" s="9" t="s">
        <v>5426</v>
      </c>
    </row>
    <row r="1186" spans="1:2" x14ac:dyDescent="0.25">
      <c r="A1186" s="9" t="s">
        <v>5425</v>
      </c>
      <c r="B1186" s="9" t="s">
        <v>3125</v>
      </c>
    </row>
    <row r="1187" spans="1:2" x14ac:dyDescent="0.25">
      <c r="A1187" s="9" t="s">
        <v>5424</v>
      </c>
      <c r="B1187" s="9" t="s">
        <v>3126</v>
      </c>
    </row>
    <row r="1188" spans="1:2" x14ac:dyDescent="0.25">
      <c r="A1188" s="9" t="s">
        <v>5423</v>
      </c>
      <c r="B1188" s="9" t="s">
        <v>5422</v>
      </c>
    </row>
    <row r="1189" spans="1:2" x14ac:dyDescent="0.25">
      <c r="A1189" s="9" t="s">
        <v>5421</v>
      </c>
      <c r="B1189" s="9" t="s">
        <v>3127</v>
      </c>
    </row>
    <row r="1190" spans="1:2" x14ac:dyDescent="0.25">
      <c r="A1190" s="9" t="s">
        <v>5420</v>
      </c>
      <c r="B1190" s="9" t="s">
        <v>3128</v>
      </c>
    </row>
    <row r="1191" spans="1:2" x14ac:dyDescent="0.25">
      <c r="A1191" s="9" t="s">
        <v>5419</v>
      </c>
      <c r="B1191" s="9" t="s">
        <v>3129</v>
      </c>
    </row>
    <row r="1192" spans="1:2" x14ac:dyDescent="0.25">
      <c r="A1192" s="9" t="s">
        <v>5418</v>
      </c>
      <c r="B1192" s="9" t="s">
        <v>3130</v>
      </c>
    </row>
    <row r="1193" spans="1:2" x14ac:dyDescent="0.25">
      <c r="A1193" s="9" t="s">
        <v>5417</v>
      </c>
      <c r="B1193" s="9" t="s">
        <v>3131</v>
      </c>
    </row>
    <row r="1194" spans="1:2" x14ac:dyDescent="0.25">
      <c r="A1194" s="9" t="s">
        <v>5416</v>
      </c>
      <c r="B1194" s="9" t="s">
        <v>3132</v>
      </c>
    </row>
    <row r="1195" spans="1:2" x14ac:dyDescent="0.25">
      <c r="A1195" s="9" t="s">
        <v>5415</v>
      </c>
      <c r="B1195" s="9" t="s">
        <v>3133</v>
      </c>
    </row>
    <row r="1196" spans="1:2" x14ac:dyDescent="0.25">
      <c r="A1196" s="9" t="s">
        <v>5414</v>
      </c>
      <c r="B1196" s="9" t="s">
        <v>3134</v>
      </c>
    </row>
    <row r="1197" spans="1:2" x14ac:dyDescent="0.25">
      <c r="A1197" s="9" t="s">
        <v>5413</v>
      </c>
      <c r="B1197" s="9" t="s">
        <v>3135</v>
      </c>
    </row>
    <row r="1198" spans="1:2" x14ac:dyDescent="0.25">
      <c r="A1198" s="9" t="s">
        <v>5412</v>
      </c>
      <c r="B1198" s="9" t="s">
        <v>3136</v>
      </c>
    </row>
    <row r="1199" spans="1:2" x14ac:dyDescent="0.25">
      <c r="A1199" s="9" t="s">
        <v>5411</v>
      </c>
      <c r="B1199" s="9" t="s">
        <v>3137</v>
      </c>
    </row>
    <row r="1200" spans="1:2" x14ac:dyDescent="0.25">
      <c r="A1200" s="9" t="s">
        <v>5410</v>
      </c>
      <c r="B1200" s="9" t="s">
        <v>3138</v>
      </c>
    </row>
    <row r="1201" spans="1:2" x14ac:dyDescent="0.25">
      <c r="A1201" s="9" t="s">
        <v>5409</v>
      </c>
      <c r="B1201" s="9" t="s">
        <v>3139</v>
      </c>
    </row>
    <row r="1202" spans="1:2" x14ac:dyDescent="0.25">
      <c r="A1202" s="9" t="s">
        <v>5408</v>
      </c>
      <c r="B1202" s="9" t="s">
        <v>2948</v>
      </c>
    </row>
    <row r="1203" spans="1:2" x14ac:dyDescent="0.25">
      <c r="A1203" s="9" t="s">
        <v>5407</v>
      </c>
      <c r="B1203" s="9" t="s">
        <v>3140</v>
      </c>
    </row>
    <row r="1204" spans="1:2" x14ac:dyDescent="0.25">
      <c r="A1204" s="9" t="s">
        <v>5406</v>
      </c>
      <c r="B1204" s="9" t="s">
        <v>3140</v>
      </c>
    </row>
    <row r="1205" spans="1:2" x14ac:dyDescent="0.25">
      <c r="A1205" s="9" t="s">
        <v>5405</v>
      </c>
      <c r="B1205" s="9" t="s">
        <v>3141</v>
      </c>
    </row>
    <row r="1206" spans="1:2" x14ac:dyDescent="0.25">
      <c r="A1206" s="9" t="s">
        <v>5404</v>
      </c>
      <c r="B1206" s="9" t="s">
        <v>3142</v>
      </c>
    </row>
    <row r="1207" spans="1:2" x14ac:dyDescent="0.25">
      <c r="A1207" s="9" t="s">
        <v>5403</v>
      </c>
      <c r="B1207" s="9" t="s">
        <v>3143</v>
      </c>
    </row>
    <row r="1208" spans="1:2" x14ac:dyDescent="0.25">
      <c r="A1208" s="9" t="s">
        <v>5402</v>
      </c>
      <c r="B1208" s="9" t="s">
        <v>3144</v>
      </c>
    </row>
    <row r="1209" spans="1:2" x14ac:dyDescent="0.25">
      <c r="A1209" s="9" t="s">
        <v>5401</v>
      </c>
      <c r="B1209" s="9" t="s">
        <v>3145</v>
      </c>
    </row>
    <row r="1210" spans="1:2" x14ac:dyDescent="0.25">
      <c r="A1210" s="9" t="s">
        <v>5400</v>
      </c>
      <c r="B1210" s="9" t="s">
        <v>5399</v>
      </c>
    </row>
    <row r="1211" spans="1:2" x14ac:dyDescent="0.25">
      <c r="A1211" s="9" t="s">
        <v>5398</v>
      </c>
      <c r="B1211" s="9" t="s">
        <v>5397</v>
      </c>
    </row>
    <row r="1212" spans="1:2" x14ac:dyDescent="0.25">
      <c r="A1212" s="9" t="s">
        <v>5396</v>
      </c>
      <c r="B1212" s="9" t="s">
        <v>5382</v>
      </c>
    </row>
    <row r="1213" spans="1:2" x14ac:dyDescent="0.25">
      <c r="A1213" s="9" t="s">
        <v>5395</v>
      </c>
      <c r="B1213" s="9" t="s">
        <v>3146</v>
      </c>
    </row>
    <row r="1214" spans="1:2" x14ac:dyDescent="0.25">
      <c r="A1214" s="9" t="s">
        <v>5394</v>
      </c>
      <c r="B1214" s="9" t="s">
        <v>3147</v>
      </c>
    </row>
    <row r="1215" spans="1:2" x14ac:dyDescent="0.25">
      <c r="A1215" s="9" t="s">
        <v>5393</v>
      </c>
      <c r="B1215" s="9" t="s">
        <v>3148</v>
      </c>
    </row>
    <row r="1216" spans="1:2" x14ac:dyDescent="0.25">
      <c r="A1216" s="9" t="s">
        <v>5392</v>
      </c>
      <c r="B1216" s="9" t="s">
        <v>3149</v>
      </c>
    </row>
    <row r="1217" spans="1:2" x14ac:dyDescent="0.25">
      <c r="A1217" s="9" t="s">
        <v>5391</v>
      </c>
      <c r="B1217" s="9" t="s">
        <v>3150</v>
      </c>
    </row>
    <row r="1218" spans="1:2" x14ac:dyDescent="0.25">
      <c r="A1218" s="9" t="s">
        <v>5390</v>
      </c>
      <c r="B1218" s="9" t="s">
        <v>3151</v>
      </c>
    </row>
    <row r="1219" spans="1:2" x14ac:dyDescent="0.25">
      <c r="A1219" s="9" t="s">
        <v>5389</v>
      </c>
      <c r="B1219" s="9" t="s">
        <v>3152</v>
      </c>
    </row>
    <row r="1220" spans="1:2" x14ac:dyDescent="0.25">
      <c r="A1220" s="9" t="s">
        <v>5388</v>
      </c>
      <c r="B1220" s="9" t="s">
        <v>3153</v>
      </c>
    </row>
    <row r="1221" spans="1:2" x14ac:dyDescent="0.25">
      <c r="A1221" s="9" t="s">
        <v>5387</v>
      </c>
      <c r="B1221" s="9" t="s">
        <v>3154</v>
      </c>
    </row>
    <row r="1222" spans="1:2" x14ac:dyDescent="0.25">
      <c r="A1222" s="9" t="s">
        <v>5386</v>
      </c>
      <c r="B1222" s="9" t="s">
        <v>3155</v>
      </c>
    </row>
    <row r="1223" spans="1:2" x14ac:dyDescent="0.25">
      <c r="A1223" s="9" t="s">
        <v>5385</v>
      </c>
      <c r="B1223" s="9" t="s">
        <v>5384</v>
      </c>
    </row>
    <row r="1224" spans="1:2" x14ac:dyDescent="0.25">
      <c r="A1224" s="9" t="s">
        <v>5383</v>
      </c>
      <c r="B1224" s="9" t="s">
        <v>5382</v>
      </c>
    </row>
    <row r="1225" spans="1:2" x14ac:dyDescent="0.25">
      <c r="A1225" s="9" t="s">
        <v>5381</v>
      </c>
      <c r="B1225" s="9" t="s">
        <v>3156</v>
      </c>
    </row>
    <row r="1226" spans="1:2" x14ac:dyDescent="0.25">
      <c r="A1226" s="9" t="s">
        <v>5380</v>
      </c>
      <c r="B1226" s="9" t="s">
        <v>3157</v>
      </c>
    </row>
    <row r="1227" spans="1:2" x14ac:dyDescent="0.25">
      <c r="A1227" s="9" t="s">
        <v>5379</v>
      </c>
      <c r="B1227" s="9" t="s">
        <v>3158</v>
      </c>
    </row>
    <row r="1228" spans="1:2" x14ac:dyDescent="0.25">
      <c r="A1228" s="9" t="s">
        <v>5378</v>
      </c>
      <c r="B1228" s="9" t="s">
        <v>3159</v>
      </c>
    </row>
    <row r="1229" spans="1:2" x14ac:dyDescent="0.25">
      <c r="A1229" s="9" t="s">
        <v>5377</v>
      </c>
      <c r="B1229" s="9" t="s">
        <v>3160</v>
      </c>
    </row>
    <row r="1230" spans="1:2" x14ac:dyDescent="0.25">
      <c r="A1230" s="9" t="s">
        <v>5376</v>
      </c>
      <c r="B1230" s="9" t="s">
        <v>3161</v>
      </c>
    </row>
    <row r="1231" spans="1:2" x14ac:dyDescent="0.25">
      <c r="A1231" s="9" t="s">
        <v>5375</v>
      </c>
      <c r="B1231" s="9" t="s">
        <v>3162</v>
      </c>
    </row>
    <row r="1232" spans="1:2" x14ac:dyDescent="0.25">
      <c r="A1232" s="9" t="s">
        <v>5374</v>
      </c>
      <c r="B1232" s="9" t="s">
        <v>3163</v>
      </c>
    </row>
    <row r="1233" spans="1:2" x14ac:dyDescent="0.25">
      <c r="A1233" s="9" t="s">
        <v>5373</v>
      </c>
      <c r="B1233" s="9" t="s">
        <v>3164</v>
      </c>
    </row>
    <row r="1234" spans="1:2" x14ac:dyDescent="0.25">
      <c r="A1234" s="9" t="s">
        <v>5372</v>
      </c>
      <c r="B1234" s="9" t="s">
        <v>3165</v>
      </c>
    </row>
    <row r="1235" spans="1:2" x14ac:dyDescent="0.25">
      <c r="A1235" s="9" t="s">
        <v>5371</v>
      </c>
      <c r="B1235" s="9" t="s">
        <v>3166</v>
      </c>
    </row>
    <row r="1236" spans="1:2" x14ac:dyDescent="0.25">
      <c r="A1236" s="9" t="s">
        <v>5370</v>
      </c>
      <c r="B1236" s="9" t="s">
        <v>3167</v>
      </c>
    </row>
    <row r="1237" spans="1:2" x14ac:dyDescent="0.25">
      <c r="A1237" s="9" t="s">
        <v>5369</v>
      </c>
      <c r="B1237" s="9" t="s">
        <v>3168</v>
      </c>
    </row>
    <row r="1238" spans="1:2" x14ac:dyDescent="0.25">
      <c r="A1238" s="9" t="s">
        <v>5368</v>
      </c>
      <c r="B1238" s="9" t="s">
        <v>3169</v>
      </c>
    </row>
    <row r="1239" spans="1:2" x14ac:dyDescent="0.25">
      <c r="A1239" s="9" t="s">
        <v>5367</v>
      </c>
      <c r="B1239" s="9" t="s">
        <v>3170</v>
      </c>
    </row>
    <row r="1240" spans="1:2" x14ac:dyDescent="0.25">
      <c r="A1240" s="9" t="s">
        <v>5366</v>
      </c>
      <c r="B1240" s="9" t="s">
        <v>5365</v>
      </c>
    </row>
    <row r="1241" spans="1:2" x14ac:dyDescent="0.25">
      <c r="A1241" s="9" t="s">
        <v>5364</v>
      </c>
      <c r="B1241" s="9" t="s">
        <v>3171</v>
      </c>
    </row>
    <row r="1242" spans="1:2" x14ac:dyDescent="0.25">
      <c r="A1242" s="9" t="s">
        <v>5363</v>
      </c>
      <c r="B1242" s="9" t="s">
        <v>3172</v>
      </c>
    </row>
    <row r="1243" spans="1:2" x14ac:dyDescent="0.25">
      <c r="A1243" s="9" t="s">
        <v>5362</v>
      </c>
      <c r="B1243" s="9" t="s">
        <v>3173</v>
      </c>
    </row>
    <row r="1244" spans="1:2" x14ac:dyDescent="0.25">
      <c r="A1244" s="9" t="s">
        <v>5361</v>
      </c>
      <c r="B1244" s="9" t="s">
        <v>3174</v>
      </c>
    </row>
    <row r="1245" spans="1:2" x14ac:dyDescent="0.25">
      <c r="A1245" s="9" t="s">
        <v>5360</v>
      </c>
      <c r="B1245" s="9" t="s">
        <v>3175</v>
      </c>
    </row>
    <row r="1246" spans="1:2" x14ac:dyDescent="0.25">
      <c r="A1246" s="9" t="s">
        <v>5359</v>
      </c>
      <c r="B1246" s="9" t="s">
        <v>3176</v>
      </c>
    </row>
    <row r="1247" spans="1:2" x14ac:dyDescent="0.25">
      <c r="A1247" s="9" t="s">
        <v>5358</v>
      </c>
      <c r="B1247" s="9" t="s">
        <v>3177</v>
      </c>
    </row>
    <row r="1248" spans="1:2" x14ac:dyDescent="0.25">
      <c r="A1248" s="9" t="s">
        <v>5357</v>
      </c>
      <c r="B1248" s="9" t="s">
        <v>3178</v>
      </c>
    </row>
    <row r="1249" spans="1:2" x14ac:dyDescent="0.25">
      <c r="A1249" s="9" t="s">
        <v>5356</v>
      </c>
      <c r="B1249" s="9" t="s">
        <v>3179</v>
      </c>
    </row>
    <row r="1250" spans="1:2" x14ac:dyDescent="0.25">
      <c r="A1250" s="9" t="s">
        <v>5355</v>
      </c>
      <c r="B1250" s="9" t="s">
        <v>3180</v>
      </c>
    </row>
    <row r="1251" spans="1:2" x14ac:dyDescent="0.25">
      <c r="A1251" s="9" t="s">
        <v>5354</v>
      </c>
      <c r="B1251" s="9" t="s">
        <v>3181</v>
      </c>
    </row>
    <row r="1252" spans="1:2" x14ac:dyDescent="0.25">
      <c r="A1252" s="9" t="s">
        <v>5353</v>
      </c>
      <c r="B1252" s="9" t="s">
        <v>3182</v>
      </c>
    </row>
    <row r="1253" spans="1:2" x14ac:dyDescent="0.25">
      <c r="A1253" s="9" t="s">
        <v>5352</v>
      </c>
      <c r="B1253" s="9" t="s">
        <v>3183</v>
      </c>
    </row>
    <row r="1254" spans="1:2" x14ac:dyDescent="0.25">
      <c r="A1254" s="9" t="s">
        <v>5351</v>
      </c>
      <c r="B1254" s="9" t="s">
        <v>3184</v>
      </c>
    </row>
    <row r="1255" spans="1:2" x14ac:dyDescent="0.25">
      <c r="A1255" s="9" t="s">
        <v>5350</v>
      </c>
      <c r="B1255" s="9" t="s">
        <v>3185</v>
      </c>
    </row>
    <row r="1256" spans="1:2" x14ac:dyDescent="0.25">
      <c r="A1256" s="9" t="s">
        <v>5349</v>
      </c>
      <c r="B1256" s="9" t="s">
        <v>3186</v>
      </c>
    </row>
    <row r="1257" spans="1:2" x14ac:dyDescent="0.25">
      <c r="A1257" s="9" t="s">
        <v>5348</v>
      </c>
      <c r="B1257" s="9" t="s">
        <v>3187</v>
      </c>
    </row>
    <row r="1258" spans="1:2" x14ac:dyDescent="0.25">
      <c r="A1258" s="9" t="s">
        <v>5347</v>
      </c>
      <c r="B1258" s="9" t="s">
        <v>3188</v>
      </c>
    </row>
    <row r="1259" spans="1:2" x14ac:dyDescent="0.25">
      <c r="A1259" s="9" t="s">
        <v>5346</v>
      </c>
      <c r="B1259" s="9" t="s">
        <v>3189</v>
      </c>
    </row>
    <row r="1260" spans="1:2" x14ac:dyDescent="0.25">
      <c r="A1260" s="9" t="s">
        <v>5345</v>
      </c>
      <c r="B1260" s="9" t="s">
        <v>3190</v>
      </c>
    </row>
    <row r="1261" spans="1:2" x14ac:dyDescent="0.25">
      <c r="A1261" s="9" t="s">
        <v>5344</v>
      </c>
      <c r="B1261" s="9" t="s">
        <v>5343</v>
      </c>
    </row>
    <row r="1262" spans="1:2" x14ac:dyDescent="0.25">
      <c r="A1262" s="9" t="s">
        <v>5342</v>
      </c>
      <c r="B1262" s="9" t="s">
        <v>3191</v>
      </c>
    </row>
    <row r="1263" spans="1:2" x14ac:dyDescent="0.25">
      <c r="A1263" s="9" t="s">
        <v>5341</v>
      </c>
      <c r="B1263" s="9" t="s">
        <v>3192</v>
      </c>
    </row>
    <row r="1264" spans="1:2" x14ac:dyDescent="0.25">
      <c r="A1264" s="9" t="s">
        <v>5340</v>
      </c>
      <c r="B1264" s="9" t="s">
        <v>3193</v>
      </c>
    </row>
    <row r="1265" spans="1:2" x14ac:dyDescent="0.25">
      <c r="A1265" s="9" t="s">
        <v>5339</v>
      </c>
      <c r="B1265" s="9" t="s">
        <v>3194</v>
      </c>
    </row>
    <row r="1266" spans="1:2" x14ac:dyDescent="0.25">
      <c r="A1266" s="9" t="s">
        <v>5338</v>
      </c>
      <c r="B1266" s="9" t="s">
        <v>5337</v>
      </c>
    </row>
    <row r="1267" spans="1:2" x14ac:dyDescent="0.25">
      <c r="A1267" s="9" t="s">
        <v>5336</v>
      </c>
      <c r="B1267" s="9" t="s">
        <v>3195</v>
      </c>
    </row>
    <row r="1268" spans="1:2" x14ac:dyDescent="0.25">
      <c r="A1268" s="9" t="s">
        <v>5335</v>
      </c>
      <c r="B1268" s="9" t="s">
        <v>3196</v>
      </c>
    </row>
    <row r="1269" spans="1:2" x14ac:dyDescent="0.25">
      <c r="A1269" s="9" t="s">
        <v>5334</v>
      </c>
      <c r="B1269" s="9" t="s">
        <v>3197</v>
      </c>
    </row>
    <row r="1270" spans="1:2" x14ac:dyDescent="0.25">
      <c r="A1270" s="9" t="s">
        <v>5333</v>
      </c>
      <c r="B1270" s="9" t="s">
        <v>3198</v>
      </c>
    </row>
    <row r="1271" spans="1:2" x14ac:dyDescent="0.25">
      <c r="A1271" s="9" t="s">
        <v>5332</v>
      </c>
      <c r="B1271" s="9" t="s">
        <v>3199</v>
      </c>
    </row>
    <row r="1272" spans="1:2" x14ac:dyDescent="0.25">
      <c r="A1272" s="9" t="s">
        <v>5331</v>
      </c>
      <c r="B1272" s="9" t="s">
        <v>3200</v>
      </c>
    </row>
    <row r="1273" spans="1:2" x14ac:dyDescent="0.25">
      <c r="A1273" s="9" t="s">
        <v>5330</v>
      </c>
      <c r="B1273" s="9" t="s">
        <v>3201</v>
      </c>
    </row>
    <row r="1274" spans="1:2" x14ac:dyDescent="0.25">
      <c r="A1274" s="9" t="s">
        <v>5329</v>
      </c>
      <c r="B1274" s="9" t="s">
        <v>3202</v>
      </c>
    </row>
    <row r="1275" spans="1:2" x14ac:dyDescent="0.25">
      <c r="A1275" s="9" t="s">
        <v>5328</v>
      </c>
      <c r="B1275" s="9" t="s">
        <v>3203</v>
      </c>
    </row>
    <row r="1276" spans="1:2" x14ac:dyDescent="0.25">
      <c r="A1276" s="9" t="s">
        <v>5327</v>
      </c>
      <c r="B1276" s="9" t="s">
        <v>3204</v>
      </c>
    </row>
    <row r="1277" spans="1:2" x14ac:dyDescent="0.25">
      <c r="A1277" s="9" t="s">
        <v>5326</v>
      </c>
      <c r="B1277" s="9" t="s">
        <v>3205</v>
      </c>
    </row>
    <row r="1278" spans="1:2" x14ac:dyDescent="0.25">
      <c r="A1278" s="9" t="s">
        <v>5325</v>
      </c>
      <c r="B1278" s="9" t="s">
        <v>3206</v>
      </c>
    </row>
    <row r="1279" spans="1:2" x14ac:dyDescent="0.25">
      <c r="A1279" s="9" t="s">
        <v>5324</v>
      </c>
      <c r="B1279" s="9" t="s">
        <v>3207</v>
      </c>
    </row>
    <row r="1280" spans="1:2" x14ac:dyDescent="0.25">
      <c r="A1280" s="9" t="s">
        <v>5323</v>
      </c>
      <c r="B1280" s="9" t="s">
        <v>3208</v>
      </c>
    </row>
    <row r="1281" spans="1:2" x14ac:dyDescent="0.25">
      <c r="A1281" s="9" t="s">
        <v>5322</v>
      </c>
      <c r="B1281" s="9" t="s">
        <v>3209</v>
      </c>
    </row>
    <row r="1282" spans="1:2" x14ac:dyDescent="0.25">
      <c r="A1282" s="9" t="s">
        <v>5321</v>
      </c>
      <c r="B1282" s="9" t="s">
        <v>3210</v>
      </c>
    </row>
    <row r="1283" spans="1:2" x14ac:dyDescent="0.25">
      <c r="A1283" s="9" t="s">
        <v>5320</v>
      </c>
      <c r="B1283" s="9" t="s">
        <v>3211</v>
      </c>
    </row>
    <row r="1284" spans="1:2" x14ac:dyDescent="0.25">
      <c r="A1284" s="9" t="s">
        <v>5319</v>
      </c>
      <c r="B1284" s="9" t="s">
        <v>3212</v>
      </c>
    </row>
    <row r="1285" spans="1:2" x14ac:dyDescent="0.25">
      <c r="A1285" s="9" t="s">
        <v>5318</v>
      </c>
      <c r="B1285" s="9" t="s">
        <v>3213</v>
      </c>
    </row>
    <row r="1286" spans="1:2" x14ac:dyDescent="0.25">
      <c r="A1286" s="9" t="s">
        <v>5317</v>
      </c>
      <c r="B1286" s="9" t="s">
        <v>3214</v>
      </c>
    </row>
    <row r="1287" spans="1:2" x14ac:dyDescent="0.25">
      <c r="A1287" s="9" t="s">
        <v>5316</v>
      </c>
      <c r="B1287" s="9" t="s">
        <v>3215</v>
      </c>
    </row>
    <row r="1288" spans="1:2" x14ac:dyDescent="0.25">
      <c r="A1288" s="9" t="s">
        <v>5315</v>
      </c>
      <c r="B1288" s="9" t="s">
        <v>3216</v>
      </c>
    </row>
    <row r="1289" spans="1:2" x14ac:dyDescent="0.25">
      <c r="A1289" s="9" t="s">
        <v>5314</v>
      </c>
      <c r="B1289" s="9" t="s">
        <v>3217</v>
      </c>
    </row>
    <row r="1290" spans="1:2" x14ac:dyDescent="0.25">
      <c r="A1290" s="9" t="s">
        <v>5313</v>
      </c>
      <c r="B1290" s="9" t="s">
        <v>5312</v>
      </c>
    </row>
    <row r="1291" spans="1:2" x14ac:dyDescent="0.25">
      <c r="A1291" s="9" t="s">
        <v>5311</v>
      </c>
      <c r="B1291" s="9" t="s">
        <v>3218</v>
      </c>
    </row>
    <row r="1292" spans="1:2" x14ac:dyDescent="0.25">
      <c r="A1292" s="9" t="s">
        <v>5310</v>
      </c>
      <c r="B1292" s="9" t="s">
        <v>3219</v>
      </c>
    </row>
    <row r="1293" spans="1:2" x14ac:dyDescent="0.25">
      <c r="A1293" s="9" t="s">
        <v>5309</v>
      </c>
      <c r="B1293" s="9" t="s">
        <v>3220</v>
      </c>
    </row>
    <row r="1294" spans="1:2" x14ac:dyDescent="0.25">
      <c r="A1294" s="9" t="s">
        <v>5308</v>
      </c>
      <c r="B1294" s="9" t="s">
        <v>3221</v>
      </c>
    </row>
    <row r="1295" spans="1:2" x14ac:dyDescent="0.25">
      <c r="A1295" s="9" t="s">
        <v>5307</v>
      </c>
      <c r="B1295" s="9" t="s">
        <v>3222</v>
      </c>
    </row>
    <row r="1296" spans="1:2" x14ac:dyDescent="0.25">
      <c r="A1296" s="9" t="s">
        <v>5306</v>
      </c>
      <c r="B1296" s="9" t="s">
        <v>3223</v>
      </c>
    </row>
    <row r="1297" spans="1:2" x14ac:dyDescent="0.25">
      <c r="A1297" s="9" t="s">
        <v>5305</v>
      </c>
      <c r="B1297" s="9" t="s">
        <v>3224</v>
      </c>
    </row>
    <row r="1298" spans="1:2" x14ac:dyDescent="0.25">
      <c r="A1298" s="9" t="s">
        <v>5304</v>
      </c>
      <c r="B1298" s="9" t="s">
        <v>3225</v>
      </c>
    </row>
    <row r="1299" spans="1:2" x14ac:dyDescent="0.25">
      <c r="A1299" s="9" t="s">
        <v>5303</v>
      </c>
      <c r="B1299" s="9" t="s">
        <v>3226</v>
      </c>
    </row>
    <row r="1300" spans="1:2" x14ac:dyDescent="0.25">
      <c r="A1300" s="9" t="s">
        <v>5302</v>
      </c>
      <c r="B1300" s="9" t="s">
        <v>3227</v>
      </c>
    </row>
    <row r="1301" spans="1:2" x14ac:dyDescent="0.25">
      <c r="A1301" s="9" t="s">
        <v>5301</v>
      </c>
      <c r="B1301" s="9" t="s">
        <v>3228</v>
      </c>
    </row>
    <row r="1302" spans="1:2" x14ac:dyDescent="0.25">
      <c r="A1302" s="9" t="s">
        <v>5300</v>
      </c>
      <c r="B1302" s="9" t="s">
        <v>5299</v>
      </c>
    </row>
    <row r="1303" spans="1:2" x14ac:dyDescent="0.25">
      <c r="A1303" s="9" t="s">
        <v>5298</v>
      </c>
      <c r="B1303" s="9" t="s">
        <v>3229</v>
      </c>
    </row>
    <row r="1304" spans="1:2" x14ac:dyDescent="0.25">
      <c r="A1304" s="9" t="s">
        <v>5297</v>
      </c>
      <c r="B1304" s="9" t="s">
        <v>3230</v>
      </c>
    </row>
    <row r="1305" spans="1:2" x14ac:dyDescent="0.25">
      <c r="A1305" s="9" t="s">
        <v>5296</v>
      </c>
      <c r="B1305" s="9" t="s">
        <v>3231</v>
      </c>
    </row>
    <row r="1306" spans="1:2" x14ac:dyDescent="0.25">
      <c r="A1306" s="9" t="s">
        <v>5295</v>
      </c>
      <c r="B1306" s="9" t="s">
        <v>3232</v>
      </c>
    </row>
    <row r="1307" spans="1:2" x14ac:dyDescent="0.25">
      <c r="A1307" s="9" t="s">
        <v>5294</v>
      </c>
      <c r="B1307" s="9" t="s">
        <v>3233</v>
      </c>
    </row>
    <row r="1308" spans="1:2" x14ac:dyDescent="0.25">
      <c r="A1308" s="9" t="s">
        <v>5293</v>
      </c>
      <c r="B1308" s="9" t="s">
        <v>3234</v>
      </c>
    </row>
    <row r="1309" spans="1:2" x14ac:dyDescent="0.25">
      <c r="A1309" s="9" t="s">
        <v>5292</v>
      </c>
      <c r="B1309" s="9" t="s">
        <v>3235</v>
      </c>
    </row>
    <row r="1310" spans="1:2" x14ac:dyDescent="0.25">
      <c r="A1310" s="9" t="s">
        <v>5291</v>
      </c>
      <c r="B1310" s="9" t="s">
        <v>3236</v>
      </c>
    </row>
    <row r="1311" spans="1:2" x14ac:dyDescent="0.25">
      <c r="A1311" s="9" t="s">
        <v>5290</v>
      </c>
      <c r="B1311" s="9" t="s">
        <v>3237</v>
      </c>
    </row>
    <row r="1312" spans="1:2" x14ac:dyDescent="0.25">
      <c r="A1312" s="9" t="s">
        <v>5289</v>
      </c>
      <c r="B1312" s="9" t="s">
        <v>3238</v>
      </c>
    </row>
    <row r="1313" spans="1:2" x14ac:dyDescent="0.25">
      <c r="A1313" s="9" t="s">
        <v>5288</v>
      </c>
      <c r="B1313" s="9" t="s">
        <v>3239</v>
      </c>
    </row>
    <row r="1314" spans="1:2" x14ac:dyDescent="0.25">
      <c r="A1314" s="9" t="s">
        <v>5287</v>
      </c>
      <c r="B1314" s="9" t="s">
        <v>3240</v>
      </c>
    </row>
    <row r="1315" spans="1:2" x14ac:dyDescent="0.25">
      <c r="A1315" s="9" t="s">
        <v>5286</v>
      </c>
      <c r="B1315" s="9" t="s">
        <v>3241</v>
      </c>
    </row>
    <row r="1316" spans="1:2" x14ac:dyDescent="0.25">
      <c r="A1316" s="9" t="s">
        <v>5285</v>
      </c>
      <c r="B1316" s="9" t="s">
        <v>3242</v>
      </c>
    </row>
    <row r="1317" spans="1:2" x14ac:dyDescent="0.25">
      <c r="A1317" s="9" t="s">
        <v>5284</v>
      </c>
      <c r="B1317" s="9" t="s">
        <v>3243</v>
      </c>
    </row>
    <row r="1318" spans="1:2" x14ac:dyDescent="0.25">
      <c r="A1318" s="9" t="s">
        <v>5283</v>
      </c>
      <c r="B1318" s="9" t="s">
        <v>3244</v>
      </c>
    </row>
    <row r="1319" spans="1:2" x14ac:dyDescent="0.25">
      <c r="A1319" s="9" t="s">
        <v>5282</v>
      </c>
      <c r="B1319" s="9" t="s">
        <v>5281</v>
      </c>
    </row>
    <row r="1320" spans="1:2" x14ac:dyDescent="0.25">
      <c r="A1320" s="9" t="s">
        <v>5280</v>
      </c>
      <c r="B1320" s="9" t="s">
        <v>5279</v>
      </c>
    </row>
    <row r="1321" spans="1:2" x14ac:dyDescent="0.25">
      <c r="A1321" s="9" t="s">
        <v>5278</v>
      </c>
      <c r="B1321" s="9" t="s">
        <v>5277</v>
      </c>
    </row>
    <row r="1322" spans="1:2" x14ac:dyDescent="0.25">
      <c r="A1322" s="9" t="s">
        <v>5276</v>
      </c>
      <c r="B1322" s="9" t="s">
        <v>5275</v>
      </c>
    </row>
    <row r="1323" spans="1:2" x14ac:dyDescent="0.25">
      <c r="A1323" s="9" t="s">
        <v>5274</v>
      </c>
      <c r="B1323" s="9" t="s">
        <v>5273</v>
      </c>
    </row>
    <row r="1324" spans="1:2" x14ac:dyDescent="0.25">
      <c r="A1324" s="9" t="s">
        <v>5272</v>
      </c>
      <c r="B1324" s="9" t="s">
        <v>5271</v>
      </c>
    </row>
    <row r="1325" spans="1:2" x14ac:dyDescent="0.25">
      <c r="A1325" s="9" t="s">
        <v>5270</v>
      </c>
      <c r="B1325" s="9" t="s">
        <v>5269</v>
      </c>
    </row>
    <row r="1326" spans="1:2" x14ac:dyDescent="0.25">
      <c r="A1326" s="9" t="s">
        <v>5268</v>
      </c>
      <c r="B1326" s="9" t="s">
        <v>5267</v>
      </c>
    </row>
    <row r="1327" spans="1:2" x14ac:dyDescent="0.25">
      <c r="A1327" s="9" t="s">
        <v>5266</v>
      </c>
      <c r="B1327" s="9" t="s">
        <v>3245</v>
      </c>
    </row>
    <row r="1328" spans="1:2" x14ac:dyDescent="0.25">
      <c r="A1328" s="9" t="s">
        <v>5265</v>
      </c>
      <c r="B1328" s="9" t="s">
        <v>3246</v>
      </c>
    </row>
    <row r="1329" spans="1:2" x14ac:dyDescent="0.25">
      <c r="A1329" s="9" t="s">
        <v>5264</v>
      </c>
      <c r="B1329" s="9" t="s">
        <v>3247</v>
      </c>
    </row>
    <row r="1330" spans="1:2" x14ac:dyDescent="0.25">
      <c r="A1330" s="9" t="s">
        <v>5263</v>
      </c>
      <c r="B1330" s="9" t="s">
        <v>3248</v>
      </c>
    </row>
    <row r="1331" spans="1:2" x14ac:dyDescent="0.25">
      <c r="A1331" s="9" t="s">
        <v>5262</v>
      </c>
      <c r="B1331" s="9" t="s">
        <v>3249</v>
      </c>
    </row>
    <row r="1332" spans="1:2" x14ac:dyDescent="0.25">
      <c r="A1332" s="9" t="s">
        <v>5261</v>
      </c>
      <c r="B1332" s="9" t="s">
        <v>3250</v>
      </c>
    </row>
    <row r="1333" spans="1:2" x14ac:dyDescent="0.25">
      <c r="A1333" s="9" t="s">
        <v>5260</v>
      </c>
      <c r="B1333" s="9" t="s">
        <v>3251</v>
      </c>
    </row>
    <row r="1334" spans="1:2" x14ac:dyDescent="0.25">
      <c r="A1334" s="9" t="s">
        <v>5259</v>
      </c>
      <c r="B1334" s="9" t="s">
        <v>3252</v>
      </c>
    </row>
    <row r="1335" spans="1:2" x14ac:dyDescent="0.25">
      <c r="A1335" s="9" t="s">
        <v>5258</v>
      </c>
      <c r="B1335" s="9" t="s">
        <v>3253</v>
      </c>
    </row>
    <row r="1336" spans="1:2" x14ac:dyDescent="0.25">
      <c r="A1336" s="9" t="s">
        <v>5257</v>
      </c>
      <c r="B1336" s="9" t="s">
        <v>3254</v>
      </c>
    </row>
    <row r="1337" spans="1:2" x14ac:dyDescent="0.25">
      <c r="A1337" s="9" t="s">
        <v>5256</v>
      </c>
      <c r="B1337" s="9" t="s">
        <v>3255</v>
      </c>
    </row>
    <row r="1338" spans="1:2" x14ac:dyDescent="0.25">
      <c r="A1338" s="9" t="s">
        <v>5255</v>
      </c>
      <c r="B1338" s="9" t="s">
        <v>3256</v>
      </c>
    </row>
    <row r="1339" spans="1:2" x14ac:dyDescent="0.25">
      <c r="A1339" s="9" t="s">
        <v>5254</v>
      </c>
      <c r="B1339" s="9" t="s">
        <v>3257</v>
      </c>
    </row>
    <row r="1340" spans="1:2" x14ac:dyDescent="0.25">
      <c r="A1340" s="9" t="s">
        <v>5253</v>
      </c>
      <c r="B1340" s="9" t="s">
        <v>3258</v>
      </c>
    </row>
    <row r="1341" spans="1:2" x14ac:dyDescent="0.25">
      <c r="A1341" s="9" t="s">
        <v>5252</v>
      </c>
      <c r="B1341" s="9" t="s">
        <v>3259</v>
      </c>
    </row>
    <row r="1342" spans="1:2" x14ac:dyDescent="0.25">
      <c r="A1342" s="9" t="s">
        <v>5251</v>
      </c>
      <c r="B1342" s="9" t="s">
        <v>3260</v>
      </c>
    </row>
    <row r="1343" spans="1:2" x14ac:dyDescent="0.25">
      <c r="A1343" s="9" t="s">
        <v>5250</v>
      </c>
      <c r="B1343" s="9" t="s">
        <v>5249</v>
      </c>
    </row>
    <row r="1344" spans="1:2" x14ac:dyDescent="0.25">
      <c r="A1344" s="9" t="s">
        <v>5248</v>
      </c>
      <c r="B1344" s="9" t="s">
        <v>5247</v>
      </c>
    </row>
    <row r="1345" spans="1:2" x14ac:dyDescent="0.25">
      <c r="A1345" s="9" t="s">
        <v>5246</v>
      </c>
      <c r="B1345" s="9" t="s">
        <v>3261</v>
      </c>
    </row>
    <row r="1346" spans="1:2" x14ac:dyDescent="0.25">
      <c r="A1346" s="9" t="s">
        <v>5245</v>
      </c>
      <c r="B1346" s="9" t="s">
        <v>3262</v>
      </c>
    </row>
    <row r="1347" spans="1:2" x14ac:dyDescent="0.25">
      <c r="A1347" s="9" t="s">
        <v>5244</v>
      </c>
      <c r="B1347" s="9" t="s">
        <v>3263</v>
      </c>
    </row>
    <row r="1348" spans="1:2" x14ac:dyDescent="0.25">
      <c r="A1348" s="9" t="s">
        <v>5243</v>
      </c>
      <c r="B1348" s="9" t="s">
        <v>3264</v>
      </c>
    </row>
    <row r="1349" spans="1:2" x14ac:dyDescent="0.25">
      <c r="A1349" s="9" t="s">
        <v>5242</v>
      </c>
      <c r="B1349" s="9" t="s">
        <v>3265</v>
      </c>
    </row>
    <row r="1350" spans="1:2" x14ac:dyDescent="0.25">
      <c r="A1350" s="9" t="s">
        <v>5241</v>
      </c>
      <c r="B1350" s="9" t="s">
        <v>3266</v>
      </c>
    </row>
    <row r="1351" spans="1:2" x14ac:dyDescent="0.25">
      <c r="A1351" s="9" t="s">
        <v>5240</v>
      </c>
      <c r="B1351" s="9" t="s">
        <v>5239</v>
      </c>
    </row>
    <row r="1352" spans="1:2" x14ac:dyDescent="0.25">
      <c r="A1352" s="9" t="s">
        <v>5238</v>
      </c>
      <c r="B1352" s="9" t="s">
        <v>5237</v>
      </c>
    </row>
    <row r="1353" spans="1:2" x14ac:dyDescent="0.25">
      <c r="A1353" s="9" t="s">
        <v>5236</v>
      </c>
      <c r="B1353" s="9" t="s">
        <v>5235</v>
      </c>
    </row>
    <row r="1354" spans="1:2" x14ac:dyDescent="0.25">
      <c r="A1354" s="9" t="s">
        <v>5234</v>
      </c>
      <c r="B1354" s="9" t="s">
        <v>5233</v>
      </c>
    </row>
    <row r="1355" spans="1:2" x14ac:dyDescent="0.25">
      <c r="A1355" s="9" t="s">
        <v>5232</v>
      </c>
      <c r="B1355" s="9" t="s">
        <v>3267</v>
      </c>
    </row>
    <row r="1356" spans="1:2" x14ac:dyDescent="0.25">
      <c r="A1356" s="9" t="s">
        <v>5231</v>
      </c>
      <c r="B1356" s="9" t="s">
        <v>5230</v>
      </c>
    </row>
    <row r="1357" spans="1:2" x14ac:dyDescent="0.25">
      <c r="A1357" s="9" t="s">
        <v>5229</v>
      </c>
      <c r="B1357" s="9" t="s">
        <v>3268</v>
      </c>
    </row>
    <row r="1358" spans="1:2" x14ac:dyDescent="0.25">
      <c r="A1358" s="9" t="s">
        <v>5228</v>
      </c>
      <c r="B1358" s="9" t="s">
        <v>3269</v>
      </c>
    </row>
    <row r="1359" spans="1:2" x14ac:dyDescent="0.25">
      <c r="A1359" s="9" t="s">
        <v>5227</v>
      </c>
      <c r="B1359" s="9" t="s">
        <v>39</v>
      </c>
    </row>
    <row r="1360" spans="1:2" x14ac:dyDescent="0.25">
      <c r="A1360" s="9" t="s">
        <v>5226</v>
      </c>
      <c r="B1360" s="9" t="s">
        <v>5225</v>
      </c>
    </row>
    <row r="1361" spans="1:2" x14ac:dyDescent="0.25">
      <c r="A1361" s="9" t="s">
        <v>5224</v>
      </c>
      <c r="B1361" s="9" t="s">
        <v>3270</v>
      </c>
    </row>
    <row r="1362" spans="1:2" x14ac:dyDescent="0.25">
      <c r="A1362" s="9" t="s">
        <v>5223</v>
      </c>
      <c r="B1362" s="9" t="s">
        <v>3271</v>
      </c>
    </row>
    <row r="1363" spans="1:2" x14ac:dyDescent="0.25">
      <c r="A1363" s="9" t="s">
        <v>5222</v>
      </c>
      <c r="B1363" s="9" t="s">
        <v>40</v>
      </c>
    </row>
    <row r="1364" spans="1:2" x14ac:dyDescent="0.25">
      <c r="A1364" s="9" t="s">
        <v>5221</v>
      </c>
      <c r="B1364" s="9" t="s">
        <v>3272</v>
      </c>
    </row>
    <row r="1365" spans="1:2" x14ac:dyDescent="0.25">
      <c r="A1365" s="9" t="s">
        <v>5220</v>
      </c>
      <c r="B1365" s="9" t="s">
        <v>41</v>
      </c>
    </row>
    <row r="1366" spans="1:2" x14ac:dyDescent="0.25">
      <c r="A1366" s="9" t="s">
        <v>5219</v>
      </c>
      <c r="B1366" s="9" t="s">
        <v>5218</v>
      </c>
    </row>
    <row r="1367" spans="1:2" x14ac:dyDescent="0.25">
      <c r="A1367" s="9" t="s">
        <v>5217</v>
      </c>
      <c r="B1367" s="9" t="s">
        <v>5216</v>
      </c>
    </row>
    <row r="1368" spans="1:2" x14ac:dyDescent="0.25">
      <c r="A1368" s="9" t="s">
        <v>5215</v>
      </c>
      <c r="B1368" s="9" t="s">
        <v>3273</v>
      </c>
    </row>
    <row r="1369" spans="1:2" x14ac:dyDescent="0.25">
      <c r="A1369" s="9" t="s">
        <v>5214</v>
      </c>
      <c r="B1369" s="9" t="s">
        <v>3274</v>
      </c>
    </row>
    <row r="1370" spans="1:2" x14ac:dyDescent="0.25">
      <c r="A1370" s="9" t="s">
        <v>5213</v>
      </c>
      <c r="B1370" s="9" t="s">
        <v>5212</v>
      </c>
    </row>
    <row r="1371" spans="1:2" x14ac:dyDescent="0.25">
      <c r="A1371" s="9" t="s">
        <v>5211</v>
      </c>
      <c r="B1371" s="9" t="s">
        <v>3275</v>
      </c>
    </row>
    <row r="1372" spans="1:2" x14ac:dyDescent="0.25">
      <c r="A1372" s="9" t="s">
        <v>5210</v>
      </c>
      <c r="B1372" s="9" t="s">
        <v>3276</v>
      </c>
    </row>
    <row r="1373" spans="1:2" x14ac:dyDescent="0.25">
      <c r="A1373" s="9" t="s">
        <v>5209</v>
      </c>
      <c r="B1373" s="9" t="s">
        <v>3277</v>
      </c>
    </row>
    <row r="1374" spans="1:2" x14ac:dyDescent="0.25">
      <c r="A1374" s="9" t="s">
        <v>5208</v>
      </c>
      <c r="B1374" s="9" t="s">
        <v>5207</v>
      </c>
    </row>
    <row r="1375" spans="1:2" x14ac:dyDescent="0.25">
      <c r="A1375" s="9" t="s">
        <v>5206</v>
      </c>
      <c r="B1375" s="9" t="s">
        <v>5205</v>
      </c>
    </row>
    <row r="1376" spans="1:2" x14ac:dyDescent="0.25">
      <c r="A1376" s="9" t="s">
        <v>5204</v>
      </c>
      <c r="B1376" s="9" t="s">
        <v>5203</v>
      </c>
    </row>
    <row r="1377" spans="1:2" x14ac:dyDescent="0.25">
      <c r="A1377" s="9" t="s">
        <v>5202</v>
      </c>
      <c r="B1377" s="9" t="s">
        <v>5201</v>
      </c>
    </row>
    <row r="1378" spans="1:2" x14ac:dyDescent="0.25">
      <c r="A1378" s="9" t="s">
        <v>5200</v>
      </c>
      <c r="B1378" s="9" t="s">
        <v>5199</v>
      </c>
    </row>
    <row r="1379" spans="1:2" x14ac:dyDescent="0.25">
      <c r="A1379" s="9" t="s">
        <v>5198</v>
      </c>
      <c r="B1379" s="9" t="s">
        <v>5197</v>
      </c>
    </row>
    <row r="1380" spans="1:2" x14ac:dyDescent="0.25">
      <c r="A1380" s="9" t="s">
        <v>5196</v>
      </c>
      <c r="B1380" s="9" t="s">
        <v>3278</v>
      </c>
    </row>
    <row r="1381" spans="1:2" x14ac:dyDescent="0.25">
      <c r="A1381" s="9" t="s">
        <v>5195</v>
      </c>
      <c r="B1381" s="9" t="s">
        <v>3279</v>
      </c>
    </row>
    <row r="1382" spans="1:2" x14ac:dyDescent="0.25">
      <c r="A1382" s="9" t="s">
        <v>5194</v>
      </c>
      <c r="B1382" s="9" t="s">
        <v>3280</v>
      </c>
    </row>
    <row r="1383" spans="1:2" x14ac:dyDescent="0.25">
      <c r="A1383" s="9" t="s">
        <v>5193</v>
      </c>
      <c r="B1383" s="9" t="s">
        <v>3281</v>
      </c>
    </row>
    <row r="1384" spans="1:2" x14ac:dyDescent="0.25">
      <c r="A1384" s="9" t="s">
        <v>5192</v>
      </c>
      <c r="B1384" s="9" t="s">
        <v>3282</v>
      </c>
    </row>
    <row r="1385" spans="1:2" x14ac:dyDescent="0.25">
      <c r="A1385" s="9" t="s">
        <v>5191</v>
      </c>
      <c r="B1385" s="9" t="s">
        <v>3283</v>
      </c>
    </row>
    <row r="1386" spans="1:2" x14ac:dyDescent="0.25">
      <c r="A1386" s="9" t="s">
        <v>5190</v>
      </c>
      <c r="B1386" s="9" t="s">
        <v>3284</v>
      </c>
    </row>
    <row r="1387" spans="1:2" x14ac:dyDescent="0.25">
      <c r="A1387" s="9" t="s">
        <v>5189</v>
      </c>
      <c r="B1387" s="9" t="s">
        <v>3285</v>
      </c>
    </row>
    <row r="1388" spans="1:2" x14ac:dyDescent="0.25">
      <c r="A1388" s="9" t="s">
        <v>5188</v>
      </c>
      <c r="B1388" s="9" t="s">
        <v>3286</v>
      </c>
    </row>
    <row r="1389" spans="1:2" x14ac:dyDescent="0.25">
      <c r="A1389" s="9" t="s">
        <v>5187</v>
      </c>
      <c r="B1389" s="9" t="s">
        <v>3287</v>
      </c>
    </row>
    <row r="1390" spans="1:2" x14ac:dyDescent="0.25">
      <c r="A1390" s="9" t="s">
        <v>5186</v>
      </c>
      <c r="B1390" s="9" t="s">
        <v>3288</v>
      </c>
    </row>
    <row r="1391" spans="1:2" x14ac:dyDescent="0.25">
      <c r="A1391" s="9" t="s">
        <v>5185</v>
      </c>
      <c r="B1391" s="9" t="s">
        <v>3289</v>
      </c>
    </row>
    <row r="1392" spans="1:2" x14ac:dyDescent="0.25">
      <c r="A1392" s="9" t="s">
        <v>5184</v>
      </c>
      <c r="B1392" s="9" t="s">
        <v>3290</v>
      </c>
    </row>
    <row r="1393" spans="1:2" x14ac:dyDescent="0.25">
      <c r="A1393" s="9" t="s">
        <v>5183</v>
      </c>
      <c r="B1393" s="9" t="s">
        <v>3291</v>
      </c>
    </row>
    <row r="1394" spans="1:2" x14ac:dyDescent="0.25">
      <c r="A1394" s="9" t="s">
        <v>5182</v>
      </c>
      <c r="B1394" s="9" t="s">
        <v>3292</v>
      </c>
    </row>
    <row r="1395" spans="1:2" x14ac:dyDescent="0.25">
      <c r="A1395" s="9" t="s">
        <v>5181</v>
      </c>
      <c r="B1395" s="9" t="s">
        <v>3293</v>
      </c>
    </row>
    <row r="1396" spans="1:2" x14ac:dyDescent="0.25">
      <c r="A1396" s="9" t="s">
        <v>5180</v>
      </c>
      <c r="B1396" s="9" t="s">
        <v>3294</v>
      </c>
    </row>
    <row r="1397" spans="1:2" x14ac:dyDescent="0.25">
      <c r="A1397" s="9" t="s">
        <v>5179</v>
      </c>
      <c r="B1397" s="9" t="s">
        <v>3295</v>
      </c>
    </row>
    <row r="1398" spans="1:2" x14ac:dyDescent="0.25">
      <c r="A1398" s="9" t="s">
        <v>5178</v>
      </c>
      <c r="B1398" s="9" t="s">
        <v>3296</v>
      </c>
    </row>
    <row r="1399" spans="1:2" x14ac:dyDescent="0.25">
      <c r="A1399" s="9" t="s">
        <v>5177</v>
      </c>
      <c r="B1399" s="9" t="s">
        <v>3297</v>
      </c>
    </row>
    <row r="1400" spans="1:2" x14ac:dyDescent="0.25">
      <c r="A1400" s="9" t="s">
        <v>5176</v>
      </c>
      <c r="B1400" s="9" t="s">
        <v>3298</v>
      </c>
    </row>
    <row r="1401" spans="1:2" x14ac:dyDescent="0.25">
      <c r="A1401" s="9" t="s">
        <v>5175</v>
      </c>
      <c r="B1401" s="9" t="s">
        <v>3299</v>
      </c>
    </row>
    <row r="1402" spans="1:2" x14ac:dyDescent="0.25">
      <c r="A1402" s="9" t="s">
        <v>5174</v>
      </c>
      <c r="B1402" s="9" t="s">
        <v>3300</v>
      </c>
    </row>
    <row r="1403" spans="1:2" x14ac:dyDescent="0.25">
      <c r="A1403" s="9" t="s">
        <v>5173</v>
      </c>
      <c r="B1403" s="9" t="s">
        <v>3301</v>
      </c>
    </row>
    <row r="1404" spans="1:2" x14ac:dyDescent="0.25">
      <c r="A1404" s="9" t="s">
        <v>5172</v>
      </c>
      <c r="B1404" s="9" t="s">
        <v>3302</v>
      </c>
    </row>
    <row r="1405" spans="1:2" x14ac:dyDescent="0.25">
      <c r="A1405" s="9" t="s">
        <v>5171</v>
      </c>
      <c r="B1405" s="9" t="s">
        <v>3303</v>
      </c>
    </row>
    <row r="1406" spans="1:2" x14ac:dyDescent="0.25">
      <c r="A1406" s="9" t="s">
        <v>5170</v>
      </c>
      <c r="B1406" s="9" t="s">
        <v>5169</v>
      </c>
    </row>
    <row r="1407" spans="1:2" x14ac:dyDescent="0.25">
      <c r="A1407" s="9" t="s">
        <v>5168</v>
      </c>
      <c r="B1407" s="9" t="s">
        <v>3304</v>
      </c>
    </row>
    <row r="1408" spans="1:2" x14ac:dyDescent="0.25">
      <c r="A1408" s="9" t="s">
        <v>5167</v>
      </c>
      <c r="B1408" s="9" t="s">
        <v>3305</v>
      </c>
    </row>
    <row r="1409" spans="1:2" x14ac:dyDescent="0.25">
      <c r="A1409" s="9" t="s">
        <v>5166</v>
      </c>
      <c r="B1409" s="9" t="s">
        <v>3306</v>
      </c>
    </row>
    <row r="1410" spans="1:2" x14ac:dyDescent="0.25">
      <c r="A1410" s="9" t="s">
        <v>5165</v>
      </c>
      <c r="B1410" s="9" t="s">
        <v>3307</v>
      </c>
    </row>
    <row r="1411" spans="1:2" x14ac:dyDescent="0.25">
      <c r="A1411" s="9" t="s">
        <v>5164</v>
      </c>
      <c r="B1411" s="9" t="s">
        <v>3308</v>
      </c>
    </row>
    <row r="1412" spans="1:2" x14ac:dyDescent="0.25">
      <c r="A1412" s="9" t="s">
        <v>5163</v>
      </c>
      <c r="B1412" s="9" t="s">
        <v>5162</v>
      </c>
    </row>
    <row r="1413" spans="1:2" x14ac:dyDescent="0.25">
      <c r="A1413" s="9" t="s">
        <v>5161</v>
      </c>
      <c r="B1413" s="9" t="s">
        <v>3309</v>
      </c>
    </row>
    <row r="1414" spans="1:2" x14ac:dyDescent="0.25">
      <c r="A1414" s="9" t="s">
        <v>5160</v>
      </c>
      <c r="B1414" s="9" t="s">
        <v>3310</v>
      </c>
    </row>
    <row r="1415" spans="1:2" x14ac:dyDescent="0.25">
      <c r="A1415" s="9" t="s">
        <v>5159</v>
      </c>
      <c r="B1415" s="9" t="s">
        <v>5158</v>
      </c>
    </row>
    <row r="1416" spans="1:2" x14ac:dyDescent="0.25">
      <c r="A1416" s="9" t="s">
        <v>5157</v>
      </c>
      <c r="B1416" s="9" t="s">
        <v>3311</v>
      </c>
    </row>
    <row r="1417" spans="1:2" x14ac:dyDescent="0.25">
      <c r="A1417" s="9" t="s">
        <v>5156</v>
      </c>
      <c r="B1417" s="9" t="s">
        <v>3312</v>
      </c>
    </row>
    <row r="1418" spans="1:2" x14ac:dyDescent="0.25">
      <c r="A1418" s="9" t="s">
        <v>5155</v>
      </c>
      <c r="B1418" s="9" t="s">
        <v>5154</v>
      </c>
    </row>
    <row r="1419" spans="1:2" x14ac:dyDescent="0.25">
      <c r="A1419" s="9" t="s">
        <v>5153</v>
      </c>
      <c r="B1419" s="9" t="s">
        <v>3313</v>
      </c>
    </row>
    <row r="1420" spans="1:2" x14ac:dyDescent="0.25">
      <c r="A1420" s="9" t="s">
        <v>5152</v>
      </c>
      <c r="B1420" s="9" t="s">
        <v>3314</v>
      </c>
    </row>
    <row r="1421" spans="1:2" x14ac:dyDescent="0.25">
      <c r="A1421" s="9" t="s">
        <v>5151</v>
      </c>
      <c r="B1421" s="9" t="s">
        <v>3315</v>
      </c>
    </row>
    <row r="1422" spans="1:2" x14ac:dyDescent="0.25">
      <c r="A1422" s="9" t="s">
        <v>5150</v>
      </c>
      <c r="B1422" s="9" t="s">
        <v>3316</v>
      </c>
    </row>
    <row r="1423" spans="1:2" x14ac:dyDescent="0.25">
      <c r="A1423" s="9" t="s">
        <v>5149</v>
      </c>
      <c r="B1423" s="9" t="s">
        <v>3317</v>
      </c>
    </row>
    <row r="1424" spans="1:2" x14ac:dyDescent="0.25">
      <c r="A1424" s="9" t="s">
        <v>5148</v>
      </c>
      <c r="B1424" s="9" t="s">
        <v>3318</v>
      </c>
    </row>
    <row r="1425" spans="1:2" x14ac:dyDescent="0.25">
      <c r="A1425" s="9" t="s">
        <v>5147</v>
      </c>
      <c r="B1425" s="9" t="s">
        <v>3319</v>
      </c>
    </row>
    <row r="1426" spans="1:2" x14ac:dyDescent="0.25">
      <c r="A1426" s="9" t="s">
        <v>5146</v>
      </c>
      <c r="B1426" s="9" t="s">
        <v>3320</v>
      </c>
    </row>
    <row r="1427" spans="1:2" x14ac:dyDescent="0.25">
      <c r="A1427" s="9" t="s">
        <v>5145</v>
      </c>
      <c r="B1427" s="9" t="s">
        <v>3321</v>
      </c>
    </row>
    <row r="1428" spans="1:2" x14ac:dyDescent="0.25">
      <c r="A1428" s="9" t="s">
        <v>5144</v>
      </c>
      <c r="B1428" s="9" t="s">
        <v>3322</v>
      </c>
    </row>
    <row r="1429" spans="1:2" x14ac:dyDescent="0.25">
      <c r="A1429" s="9" t="s">
        <v>5143</v>
      </c>
      <c r="B1429" s="9" t="s">
        <v>3323</v>
      </c>
    </row>
    <row r="1430" spans="1:2" x14ac:dyDescent="0.25">
      <c r="A1430" s="9" t="s">
        <v>5142</v>
      </c>
      <c r="B1430" s="9" t="s">
        <v>3324</v>
      </c>
    </row>
    <row r="1431" spans="1:2" x14ac:dyDescent="0.25">
      <c r="A1431" s="9" t="s">
        <v>5141</v>
      </c>
      <c r="B1431" s="9" t="s">
        <v>3325</v>
      </c>
    </row>
    <row r="1432" spans="1:2" x14ac:dyDescent="0.25">
      <c r="A1432" s="9" t="s">
        <v>5140</v>
      </c>
      <c r="B1432" s="9" t="s">
        <v>3326</v>
      </c>
    </row>
    <row r="1433" spans="1:2" x14ac:dyDescent="0.25">
      <c r="A1433" s="9" t="s">
        <v>5139</v>
      </c>
      <c r="B1433" s="9" t="s">
        <v>3327</v>
      </c>
    </row>
    <row r="1434" spans="1:2" x14ac:dyDescent="0.25">
      <c r="A1434" s="9" t="s">
        <v>5138</v>
      </c>
      <c r="B1434" s="9" t="s">
        <v>5137</v>
      </c>
    </row>
    <row r="1435" spans="1:2" x14ac:dyDescent="0.25">
      <c r="A1435" s="9" t="s">
        <v>5136</v>
      </c>
      <c r="B1435" s="9" t="s">
        <v>3328</v>
      </c>
    </row>
    <row r="1436" spans="1:2" x14ac:dyDescent="0.25">
      <c r="A1436" s="9" t="s">
        <v>5135</v>
      </c>
      <c r="B1436" s="9" t="s">
        <v>5134</v>
      </c>
    </row>
    <row r="1437" spans="1:2" x14ac:dyDescent="0.25">
      <c r="A1437" s="9" t="s">
        <v>5133</v>
      </c>
      <c r="B1437" s="9" t="s">
        <v>3329</v>
      </c>
    </row>
    <row r="1438" spans="1:2" x14ac:dyDescent="0.25">
      <c r="A1438" s="9" t="s">
        <v>5132</v>
      </c>
      <c r="B1438" s="9" t="s">
        <v>5131</v>
      </c>
    </row>
    <row r="1439" spans="1:2" x14ac:dyDescent="0.25">
      <c r="A1439" s="9" t="s">
        <v>5130</v>
      </c>
      <c r="B1439" s="9" t="s">
        <v>5129</v>
      </c>
    </row>
    <row r="1440" spans="1:2" x14ac:dyDescent="0.25">
      <c r="A1440" s="9" t="s">
        <v>5128</v>
      </c>
      <c r="B1440" s="9" t="s">
        <v>5127</v>
      </c>
    </row>
    <row r="1441" spans="1:2" x14ac:dyDescent="0.25">
      <c r="A1441" s="9" t="s">
        <v>5126</v>
      </c>
      <c r="B1441" s="9" t="s">
        <v>3330</v>
      </c>
    </row>
    <row r="1442" spans="1:2" x14ac:dyDescent="0.25">
      <c r="A1442" s="9" t="s">
        <v>5125</v>
      </c>
      <c r="B1442" s="9" t="s">
        <v>3331</v>
      </c>
    </row>
    <row r="1443" spans="1:2" x14ac:dyDescent="0.25">
      <c r="A1443" s="9" t="s">
        <v>5124</v>
      </c>
      <c r="B1443" s="9" t="s">
        <v>3332</v>
      </c>
    </row>
    <row r="1444" spans="1:2" x14ac:dyDescent="0.25">
      <c r="A1444" s="9" t="s">
        <v>5123</v>
      </c>
      <c r="B1444" s="9" t="s">
        <v>3333</v>
      </c>
    </row>
    <row r="1445" spans="1:2" x14ac:dyDescent="0.25">
      <c r="A1445" s="9" t="s">
        <v>5122</v>
      </c>
      <c r="B1445" s="9" t="s">
        <v>3334</v>
      </c>
    </row>
    <row r="1446" spans="1:2" x14ac:dyDescent="0.25">
      <c r="A1446" s="9" t="s">
        <v>5121</v>
      </c>
      <c r="B1446" s="9" t="s">
        <v>3335</v>
      </c>
    </row>
    <row r="1447" spans="1:2" x14ac:dyDescent="0.25">
      <c r="A1447" s="9" t="s">
        <v>5120</v>
      </c>
      <c r="B1447" s="9" t="s">
        <v>3336</v>
      </c>
    </row>
    <row r="1448" spans="1:2" x14ac:dyDescent="0.25">
      <c r="A1448" s="9" t="s">
        <v>5119</v>
      </c>
      <c r="B1448" s="9" t="s">
        <v>3337</v>
      </c>
    </row>
    <row r="1449" spans="1:2" x14ac:dyDescent="0.25">
      <c r="A1449" s="9" t="s">
        <v>5118</v>
      </c>
      <c r="B1449" s="9" t="s">
        <v>3337</v>
      </c>
    </row>
    <row r="1450" spans="1:2" x14ac:dyDescent="0.25">
      <c r="A1450" s="9" t="s">
        <v>5117</v>
      </c>
      <c r="B1450" s="9" t="s">
        <v>3338</v>
      </c>
    </row>
    <row r="1451" spans="1:2" x14ac:dyDescent="0.25">
      <c r="A1451" s="9" t="s">
        <v>5116</v>
      </c>
      <c r="B1451" s="9" t="s">
        <v>3339</v>
      </c>
    </row>
    <row r="1452" spans="1:2" x14ac:dyDescent="0.25">
      <c r="A1452" s="9" t="s">
        <v>5115</v>
      </c>
      <c r="B1452" s="9" t="s">
        <v>3340</v>
      </c>
    </row>
    <row r="1453" spans="1:2" x14ac:dyDescent="0.25">
      <c r="A1453" s="9" t="s">
        <v>5114</v>
      </c>
      <c r="B1453" s="9" t="s">
        <v>3341</v>
      </c>
    </row>
    <row r="1454" spans="1:2" x14ac:dyDescent="0.25">
      <c r="A1454" s="9" t="s">
        <v>5113</v>
      </c>
      <c r="B1454" s="9" t="s">
        <v>5112</v>
      </c>
    </row>
    <row r="1455" spans="1:2" x14ac:dyDescent="0.25">
      <c r="A1455" s="9" t="s">
        <v>5111</v>
      </c>
      <c r="B1455" s="9" t="s">
        <v>3342</v>
      </c>
    </row>
    <row r="1456" spans="1:2" x14ac:dyDescent="0.25">
      <c r="A1456" s="9" t="s">
        <v>5110</v>
      </c>
      <c r="B1456" s="9" t="s">
        <v>3343</v>
      </c>
    </row>
    <row r="1457" spans="1:2" x14ac:dyDescent="0.25">
      <c r="A1457" s="9" t="s">
        <v>5109</v>
      </c>
      <c r="B1457" s="9" t="s">
        <v>3344</v>
      </c>
    </row>
    <row r="1458" spans="1:2" x14ac:dyDescent="0.25">
      <c r="A1458" s="9" t="s">
        <v>5108</v>
      </c>
      <c r="B1458" s="9" t="s">
        <v>3345</v>
      </c>
    </row>
    <row r="1459" spans="1:2" x14ac:dyDescent="0.25">
      <c r="A1459" s="9" t="s">
        <v>5107</v>
      </c>
      <c r="B1459" s="9" t="s">
        <v>3346</v>
      </c>
    </row>
    <row r="1460" spans="1:2" x14ac:dyDescent="0.25">
      <c r="A1460" s="9" t="s">
        <v>5106</v>
      </c>
      <c r="B1460" s="9" t="s">
        <v>3347</v>
      </c>
    </row>
    <row r="1461" spans="1:2" x14ac:dyDescent="0.25">
      <c r="A1461" s="9" t="s">
        <v>5105</v>
      </c>
      <c r="B1461" s="9" t="s">
        <v>3348</v>
      </c>
    </row>
    <row r="1462" spans="1:2" x14ac:dyDescent="0.25">
      <c r="A1462" s="9" t="s">
        <v>5104</v>
      </c>
      <c r="B1462" s="9" t="s">
        <v>3349</v>
      </c>
    </row>
    <row r="1463" spans="1:2" x14ac:dyDescent="0.25">
      <c r="A1463" s="9" t="s">
        <v>5103</v>
      </c>
      <c r="B1463" s="9" t="s">
        <v>3350</v>
      </c>
    </row>
    <row r="1464" spans="1:2" x14ac:dyDescent="0.25">
      <c r="A1464" s="9" t="s">
        <v>5102</v>
      </c>
      <c r="B1464" s="9" t="s">
        <v>3351</v>
      </c>
    </row>
    <row r="1465" spans="1:2" x14ac:dyDescent="0.25">
      <c r="A1465" s="9" t="s">
        <v>5101</v>
      </c>
      <c r="B1465" s="9" t="s">
        <v>3352</v>
      </c>
    </row>
    <row r="1466" spans="1:2" x14ac:dyDescent="0.25">
      <c r="A1466" s="9" t="s">
        <v>5100</v>
      </c>
      <c r="B1466" s="9" t="s">
        <v>3353</v>
      </c>
    </row>
    <row r="1467" spans="1:2" x14ac:dyDescent="0.25">
      <c r="A1467" s="9" t="s">
        <v>5099</v>
      </c>
      <c r="B1467" s="9" t="s">
        <v>3354</v>
      </c>
    </row>
    <row r="1468" spans="1:2" x14ac:dyDescent="0.25">
      <c r="A1468" s="9" t="s">
        <v>5098</v>
      </c>
      <c r="B1468" s="9" t="s">
        <v>3355</v>
      </c>
    </row>
    <row r="1469" spans="1:2" x14ac:dyDescent="0.25">
      <c r="A1469" s="9" t="s">
        <v>5097</v>
      </c>
      <c r="B1469" s="9" t="s">
        <v>3356</v>
      </c>
    </row>
    <row r="1470" spans="1:2" x14ac:dyDescent="0.25">
      <c r="A1470" s="9" t="s">
        <v>5096</v>
      </c>
      <c r="B1470" s="9" t="s">
        <v>3357</v>
      </c>
    </row>
    <row r="1471" spans="1:2" x14ac:dyDescent="0.25">
      <c r="A1471" s="9" t="s">
        <v>5095</v>
      </c>
      <c r="B1471" s="9" t="s">
        <v>3358</v>
      </c>
    </row>
    <row r="1472" spans="1:2" x14ac:dyDescent="0.25">
      <c r="A1472" s="9" t="s">
        <v>5094</v>
      </c>
      <c r="B1472" s="9" t="s">
        <v>3359</v>
      </c>
    </row>
    <row r="1473" spans="1:2" x14ac:dyDescent="0.25">
      <c r="A1473" s="9" t="s">
        <v>5093</v>
      </c>
      <c r="B1473" s="9" t="s">
        <v>3360</v>
      </c>
    </row>
    <row r="1474" spans="1:2" x14ac:dyDescent="0.25">
      <c r="A1474" s="9" t="s">
        <v>5092</v>
      </c>
      <c r="B1474" s="9" t="s">
        <v>3361</v>
      </c>
    </row>
    <row r="1475" spans="1:2" x14ac:dyDescent="0.25">
      <c r="A1475" s="9" t="s">
        <v>5091</v>
      </c>
      <c r="B1475" s="9" t="s">
        <v>3362</v>
      </c>
    </row>
    <row r="1476" spans="1:2" x14ac:dyDescent="0.25">
      <c r="A1476" s="9" t="s">
        <v>5090</v>
      </c>
      <c r="B1476" s="9" t="s">
        <v>3363</v>
      </c>
    </row>
    <row r="1477" spans="1:2" x14ac:dyDescent="0.25">
      <c r="A1477" s="9" t="s">
        <v>5089</v>
      </c>
      <c r="B1477" s="9" t="s">
        <v>5088</v>
      </c>
    </row>
    <row r="1478" spans="1:2" x14ac:dyDescent="0.25">
      <c r="A1478" s="9" t="s">
        <v>5087</v>
      </c>
      <c r="B1478" s="9" t="s">
        <v>5086</v>
      </c>
    </row>
    <row r="1479" spans="1:2" x14ac:dyDescent="0.25">
      <c r="A1479" s="9" t="s">
        <v>5085</v>
      </c>
      <c r="B1479" s="9" t="s">
        <v>3364</v>
      </c>
    </row>
    <row r="1480" spans="1:2" x14ac:dyDescent="0.25">
      <c r="A1480" s="9" t="s">
        <v>5084</v>
      </c>
      <c r="B1480" s="9" t="s">
        <v>3365</v>
      </c>
    </row>
    <row r="1481" spans="1:2" x14ac:dyDescent="0.25">
      <c r="A1481" s="9" t="s">
        <v>5083</v>
      </c>
      <c r="B1481" s="9" t="s">
        <v>5082</v>
      </c>
    </row>
    <row r="1482" spans="1:2" x14ac:dyDescent="0.25">
      <c r="A1482" s="9" t="s">
        <v>5081</v>
      </c>
      <c r="B1482" s="9" t="s">
        <v>3366</v>
      </c>
    </row>
    <row r="1483" spans="1:2" x14ac:dyDescent="0.25">
      <c r="A1483" s="9" t="s">
        <v>5080</v>
      </c>
      <c r="B1483" s="9" t="s">
        <v>5079</v>
      </c>
    </row>
    <row r="1484" spans="1:2" x14ac:dyDescent="0.25">
      <c r="A1484" s="9" t="s">
        <v>5078</v>
      </c>
      <c r="B1484" s="9" t="s">
        <v>42</v>
      </c>
    </row>
    <row r="1485" spans="1:2" x14ac:dyDescent="0.25">
      <c r="A1485" s="9" t="s">
        <v>5077</v>
      </c>
      <c r="B1485" s="9" t="s">
        <v>43</v>
      </c>
    </row>
    <row r="1486" spans="1:2" x14ac:dyDescent="0.25">
      <c r="A1486" s="9" t="s">
        <v>5076</v>
      </c>
      <c r="B1486" s="9" t="s">
        <v>44</v>
      </c>
    </row>
    <row r="1487" spans="1:2" x14ac:dyDescent="0.25">
      <c r="A1487" s="9" t="s">
        <v>5075</v>
      </c>
      <c r="B1487" s="9" t="s">
        <v>45</v>
      </c>
    </row>
    <row r="1488" spans="1:2" x14ac:dyDescent="0.25">
      <c r="A1488" s="9" t="s">
        <v>5074</v>
      </c>
      <c r="B1488" s="9" t="s">
        <v>46</v>
      </c>
    </row>
    <row r="1489" spans="1:2" x14ac:dyDescent="0.25">
      <c r="A1489" s="9" t="s">
        <v>5073</v>
      </c>
      <c r="B1489" s="9" t="s">
        <v>47</v>
      </c>
    </row>
    <row r="1490" spans="1:2" x14ac:dyDescent="0.25">
      <c r="A1490" s="9" t="s">
        <v>5072</v>
      </c>
      <c r="B1490" s="9" t="s">
        <v>3367</v>
      </c>
    </row>
    <row r="1491" spans="1:2" x14ac:dyDescent="0.25">
      <c r="A1491" s="9" t="s">
        <v>5071</v>
      </c>
      <c r="B1491" s="9" t="s">
        <v>3368</v>
      </c>
    </row>
    <row r="1492" spans="1:2" x14ac:dyDescent="0.25">
      <c r="A1492" s="9" t="s">
        <v>5070</v>
      </c>
      <c r="B1492" s="9" t="s">
        <v>3369</v>
      </c>
    </row>
    <row r="1493" spans="1:2" x14ac:dyDescent="0.25">
      <c r="A1493" s="9" t="s">
        <v>5069</v>
      </c>
      <c r="B1493" s="9" t="s">
        <v>3370</v>
      </c>
    </row>
    <row r="1494" spans="1:2" x14ac:dyDescent="0.25">
      <c r="A1494" s="9" t="s">
        <v>5068</v>
      </c>
      <c r="B1494" s="9" t="s">
        <v>3371</v>
      </c>
    </row>
    <row r="1495" spans="1:2" x14ac:dyDescent="0.25">
      <c r="A1495" s="9" t="s">
        <v>5067</v>
      </c>
      <c r="B1495" s="9" t="s">
        <v>3372</v>
      </c>
    </row>
    <row r="1496" spans="1:2" x14ac:dyDescent="0.25">
      <c r="A1496" s="9" t="s">
        <v>5066</v>
      </c>
      <c r="B1496" s="9" t="s">
        <v>3373</v>
      </c>
    </row>
    <row r="1497" spans="1:2" x14ac:dyDescent="0.25">
      <c r="A1497" s="9" t="s">
        <v>5065</v>
      </c>
      <c r="B1497" s="9" t="s">
        <v>3374</v>
      </c>
    </row>
    <row r="1498" spans="1:2" x14ac:dyDescent="0.25">
      <c r="A1498" s="9" t="s">
        <v>5064</v>
      </c>
      <c r="B1498" s="9" t="s">
        <v>3375</v>
      </c>
    </row>
    <row r="1499" spans="1:2" x14ac:dyDescent="0.25">
      <c r="A1499" s="9" t="s">
        <v>5063</v>
      </c>
      <c r="B1499" s="9" t="s">
        <v>48</v>
      </c>
    </row>
    <row r="1500" spans="1:2" x14ac:dyDescent="0.25">
      <c r="A1500" s="9" t="s">
        <v>5062</v>
      </c>
      <c r="B1500" s="9" t="s">
        <v>3376</v>
      </c>
    </row>
    <row r="1501" spans="1:2" x14ac:dyDescent="0.25">
      <c r="A1501" s="9" t="s">
        <v>5061</v>
      </c>
      <c r="B1501" s="9" t="s">
        <v>49</v>
      </c>
    </row>
    <row r="1502" spans="1:2" x14ac:dyDescent="0.25">
      <c r="A1502" s="9" t="s">
        <v>5060</v>
      </c>
      <c r="B1502" s="9" t="s">
        <v>5059</v>
      </c>
    </row>
    <row r="1503" spans="1:2" x14ac:dyDescent="0.25">
      <c r="A1503" s="9" t="s">
        <v>5058</v>
      </c>
      <c r="B1503" s="9" t="s">
        <v>50</v>
      </c>
    </row>
    <row r="1504" spans="1:2" x14ac:dyDescent="0.25">
      <c r="A1504" s="9" t="s">
        <v>5057</v>
      </c>
      <c r="B1504" s="9" t="s">
        <v>51</v>
      </c>
    </row>
    <row r="1505" spans="1:2" x14ac:dyDescent="0.25">
      <c r="A1505" s="9" t="s">
        <v>5056</v>
      </c>
      <c r="B1505" s="9" t="s">
        <v>52</v>
      </c>
    </row>
    <row r="1506" spans="1:2" x14ac:dyDescent="0.25">
      <c r="A1506" s="9" t="s">
        <v>5055</v>
      </c>
      <c r="B1506" s="9" t="s">
        <v>53</v>
      </c>
    </row>
    <row r="1507" spans="1:2" x14ac:dyDescent="0.25">
      <c r="A1507" s="9" t="s">
        <v>5054</v>
      </c>
      <c r="B1507" s="9" t="s">
        <v>54</v>
      </c>
    </row>
    <row r="1508" spans="1:2" x14ac:dyDescent="0.25">
      <c r="A1508" s="9" t="s">
        <v>5053</v>
      </c>
      <c r="B1508" s="9" t="s">
        <v>3377</v>
      </c>
    </row>
    <row r="1509" spans="1:2" x14ac:dyDescent="0.25">
      <c r="A1509" s="9" t="s">
        <v>5052</v>
      </c>
      <c r="B1509" s="9" t="s">
        <v>3378</v>
      </c>
    </row>
    <row r="1510" spans="1:2" x14ac:dyDescent="0.25">
      <c r="A1510" s="9" t="s">
        <v>5051</v>
      </c>
      <c r="B1510" s="9" t="s">
        <v>3379</v>
      </c>
    </row>
    <row r="1511" spans="1:2" x14ac:dyDescent="0.25">
      <c r="A1511" s="9" t="s">
        <v>5050</v>
      </c>
      <c r="B1511" s="9" t="s">
        <v>3380</v>
      </c>
    </row>
    <row r="1512" spans="1:2" x14ac:dyDescent="0.25">
      <c r="A1512" s="9" t="s">
        <v>5049</v>
      </c>
      <c r="B1512" s="9" t="s">
        <v>3381</v>
      </c>
    </row>
    <row r="1513" spans="1:2" x14ac:dyDescent="0.25">
      <c r="A1513" s="9" t="s">
        <v>5048</v>
      </c>
      <c r="B1513" s="9" t="s">
        <v>3382</v>
      </c>
    </row>
    <row r="1514" spans="1:2" x14ac:dyDescent="0.25">
      <c r="A1514" s="9" t="s">
        <v>5047</v>
      </c>
      <c r="B1514" s="9" t="s">
        <v>5046</v>
      </c>
    </row>
    <row r="1515" spans="1:2" x14ac:dyDescent="0.25">
      <c r="A1515" s="9" t="s">
        <v>5045</v>
      </c>
      <c r="B1515" s="9" t="s">
        <v>3383</v>
      </c>
    </row>
    <row r="1516" spans="1:2" x14ac:dyDescent="0.25">
      <c r="A1516" s="9" t="s">
        <v>5044</v>
      </c>
      <c r="B1516" s="9" t="s">
        <v>3384</v>
      </c>
    </row>
    <row r="1517" spans="1:2" x14ac:dyDescent="0.25">
      <c r="A1517" s="9" t="s">
        <v>5043</v>
      </c>
      <c r="B1517" s="9" t="s">
        <v>3385</v>
      </c>
    </row>
    <row r="1518" spans="1:2" x14ac:dyDescent="0.25">
      <c r="A1518" s="9" t="s">
        <v>5042</v>
      </c>
      <c r="B1518" s="9" t="s">
        <v>3386</v>
      </c>
    </row>
    <row r="1519" spans="1:2" x14ac:dyDescent="0.25">
      <c r="A1519" s="9" t="s">
        <v>5041</v>
      </c>
      <c r="B1519" s="9" t="s">
        <v>3387</v>
      </c>
    </row>
    <row r="1520" spans="1:2" x14ac:dyDescent="0.25">
      <c r="A1520" s="9" t="s">
        <v>5040</v>
      </c>
      <c r="B1520" s="9" t="s">
        <v>3388</v>
      </c>
    </row>
    <row r="1521" spans="1:2" x14ac:dyDescent="0.25">
      <c r="A1521" s="9" t="s">
        <v>5039</v>
      </c>
      <c r="B1521" s="9" t="s">
        <v>3389</v>
      </c>
    </row>
    <row r="1522" spans="1:2" x14ac:dyDescent="0.25">
      <c r="A1522" s="9" t="s">
        <v>5038</v>
      </c>
      <c r="B1522" s="9" t="s">
        <v>3390</v>
      </c>
    </row>
    <row r="1523" spans="1:2" x14ac:dyDescent="0.25">
      <c r="A1523" s="9" t="s">
        <v>5037</v>
      </c>
      <c r="B1523" s="9" t="s">
        <v>55</v>
      </c>
    </row>
    <row r="1524" spans="1:2" x14ac:dyDescent="0.25">
      <c r="A1524" s="9" t="s">
        <v>5036</v>
      </c>
      <c r="B1524" s="9" t="s">
        <v>56</v>
      </c>
    </row>
    <row r="1525" spans="1:2" x14ac:dyDescent="0.25">
      <c r="A1525" s="9" t="s">
        <v>5035</v>
      </c>
      <c r="B1525" s="9" t="s">
        <v>3391</v>
      </c>
    </row>
    <row r="1526" spans="1:2" x14ac:dyDescent="0.25">
      <c r="A1526" s="9" t="s">
        <v>5034</v>
      </c>
      <c r="B1526" s="9" t="s">
        <v>3392</v>
      </c>
    </row>
    <row r="1527" spans="1:2" x14ac:dyDescent="0.25">
      <c r="A1527" s="9" t="s">
        <v>5033</v>
      </c>
      <c r="B1527" s="9" t="s">
        <v>3393</v>
      </c>
    </row>
    <row r="1528" spans="1:2" x14ac:dyDescent="0.25">
      <c r="A1528" s="9" t="s">
        <v>5032</v>
      </c>
      <c r="B1528" s="9" t="s">
        <v>3394</v>
      </c>
    </row>
    <row r="1529" spans="1:2" x14ac:dyDescent="0.25">
      <c r="A1529" s="9" t="s">
        <v>5031</v>
      </c>
      <c r="B1529" s="9" t="s">
        <v>3395</v>
      </c>
    </row>
    <row r="1530" spans="1:2" x14ac:dyDescent="0.25">
      <c r="A1530" s="9" t="s">
        <v>5030</v>
      </c>
      <c r="B1530" s="9" t="s">
        <v>3396</v>
      </c>
    </row>
    <row r="1531" spans="1:2" x14ac:dyDescent="0.25">
      <c r="A1531" s="9" t="s">
        <v>5029</v>
      </c>
      <c r="B1531" s="9" t="s">
        <v>3397</v>
      </c>
    </row>
    <row r="1532" spans="1:2" x14ac:dyDescent="0.25">
      <c r="A1532" s="9" t="s">
        <v>5028</v>
      </c>
      <c r="B1532" s="9" t="s">
        <v>5027</v>
      </c>
    </row>
    <row r="1533" spans="1:2" x14ac:dyDescent="0.25">
      <c r="A1533" s="9" t="s">
        <v>5026</v>
      </c>
      <c r="B1533" s="9" t="s">
        <v>3398</v>
      </c>
    </row>
    <row r="1534" spans="1:2" x14ac:dyDescent="0.25">
      <c r="A1534" s="9" t="s">
        <v>5025</v>
      </c>
      <c r="B1534" s="9" t="s">
        <v>3399</v>
      </c>
    </row>
    <row r="1535" spans="1:2" x14ac:dyDescent="0.25">
      <c r="A1535" s="9" t="s">
        <v>5024</v>
      </c>
      <c r="B1535" s="9" t="s">
        <v>3400</v>
      </c>
    </row>
    <row r="1536" spans="1:2" x14ac:dyDescent="0.25">
      <c r="A1536" s="9" t="s">
        <v>5023</v>
      </c>
      <c r="B1536" s="9" t="s">
        <v>3401</v>
      </c>
    </row>
    <row r="1537" spans="1:2" x14ac:dyDescent="0.25">
      <c r="A1537" s="9" t="s">
        <v>5022</v>
      </c>
      <c r="B1537" s="9" t="s">
        <v>3402</v>
      </c>
    </row>
    <row r="1538" spans="1:2" x14ac:dyDescent="0.25">
      <c r="A1538" s="9" t="s">
        <v>5021</v>
      </c>
      <c r="B1538" s="9" t="s">
        <v>5020</v>
      </c>
    </row>
    <row r="1539" spans="1:2" x14ac:dyDescent="0.25">
      <c r="A1539" s="9" t="s">
        <v>5019</v>
      </c>
      <c r="B1539" s="9" t="s">
        <v>3403</v>
      </c>
    </row>
    <row r="1540" spans="1:2" x14ac:dyDescent="0.25">
      <c r="A1540" s="9" t="s">
        <v>5018</v>
      </c>
      <c r="B1540" s="9" t="s">
        <v>3404</v>
      </c>
    </row>
    <row r="1541" spans="1:2" x14ac:dyDescent="0.25">
      <c r="A1541" s="9" t="s">
        <v>5017</v>
      </c>
      <c r="B1541" s="9" t="s">
        <v>3405</v>
      </c>
    </row>
    <row r="1542" spans="1:2" x14ac:dyDescent="0.25">
      <c r="A1542" s="9" t="s">
        <v>5016</v>
      </c>
      <c r="B1542" s="9" t="s">
        <v>3406</v>
      </c>
    </row>
    <row r="1543" spans="1:2" x14ac:dyDescent="0.25">
      <c r="A1543" s="9" t="s">
        <v>5015</v>
      </c>
      <c r="B1543" s="9" t="s">
        <v>5014</v>
      </c>
    </row>
    <row r="1544" spans="1:2" x14ac:dyDescent="0.25">
      <c r="A1544" s="9" t="s">
        <v>5013</v>
      </c>
      <c r="B1544" s="9" t="s">
        <v>3407</v>
      </c>
    </row>
    <row r="1545" spans="1:2" x14ac:dyDescent="0.25">
      <c r="A1545" s="9" t="s">
        <v>5012</v>
      </c>
      <c r="B1545" s="9" t="s">
        <v>3408</v>
      </c>
    </row>
    <row r="1546" spans="1:2" x14ac:dyDescent="0.25">
      <c r="A1546" s="9" t="s">
        <v>5011</v>
      </c>
      <c r="B1546" s="9" t="s">
        <v>3409</v>
      </c>
    </row>
    <row r="1547" spans="1:2" x14ac:dyDescent="0.25">
      <c r="A1547" s="9" t="s">
        <v>5010</v>
      </c>
      <c r="B1547" s="9" t="s">
        <v>3410</v>
      </c>
    </row>
    <row r="1548" spans="1:2" x14ac:dyDescent="0.25">
      <c r="A1548" s="9" t="s">
        <v>5009</v>
      </c>
      <c r="B1548" s="9" t="s">
        <v>3411</v>
      </c>
    </row>
    <row r="1549" spans="1:2" x14ac:dyDescent="0.25">
      <c r="A1549" s="9" t="s">
        <v>5008</v>
      </c>
      <c r="B1549" s="9" t="s">
        <v>3412</v>
      </c>
    </row>
    <row r="1550" spans="1:2" x14ac:dyDescent="0.25">
      <c r="A1550" s="9" t="s">
        <v>5007</v>
      </c>
      <c r="B1550" s="9" t="s">
        <v>5006</v>
      </c>
    </row>
    <row r="1551" spans="1:2" x14ac:dyDescent="0.25">
      <c r="A1551" s="9" t="s">
        <v>5005</v>
      </c>
      <c r="B1551" s="9" t="s">
        <v>3413</v>
      </c>
    </row>
    <row r="1552" spans="1:2" x14ac:dyDescent="0.25">
      <c r="A1552" s="9" t="s">
        <v>5004</v>
      </c>
      <c r="B1552" s="9" t="s">
        <v>3414</v>
      </c>
    </row>
    <row r="1553" spans="1:2" x14ac:dyDescent="0.25">
      <c r="A1553" s="9" t="s">
        <v>5003</v>
      </c>
      <c r="B1553" s="9" t="s">
        <v>3415</v>
      </c>
    </row>
    <row r="1554" spans="1:2" x14ac:dyDescent="0.25">
      <c r="A1554" s="9" t="s">
        <v>5002</v>
      </c>
      <c r="B1554" s="9" t="s">
        <v>3416</v>
      </c>
    </row>
    <row r="1555" spans="1:2" x14ac:dyDescent="0.25">
      <c r="A1555" s="9" t="s">
        <v>5001</v>
      </c>
      <c r="B1555" s="9" t="s">
        <v>5000</v>
      </c>
    </row>
    <row r="1556" spans="1:2" x14ac:dyDescent="0.25">
      <c r="A1556" s="9" t="s">
        <v>4999</v>
      </c>
      <c r="B1556" s="9" t="s">
        <v>3417</v>
      </c>
    </row>
    <row r="1557" spans="1:2" x14ac:dyDescent="0.25">
      <c r="A1557" s="9" t="s">
        <v>4998</v>
      </c>
      <c r="B1557" s="9" t="s">
        <v>3418</v>
      </c>
    </row>
    <row r="1558" spans="1:2" x14ac:dyDescent="0.25">
      <c r="A1558" s="9" t="s">
        <v>4997</v>
      </c>
      <c r="B1558" s="9" t="s">
        <v>3419</v>
      </c>
    </row>
    <row r="1559" spans="1:2" x14ac:dyDescent="0.25">
      <c r="A1559" s="9" t="s">
        <v>4996</v>
      </c>
      <c r="B1559" s="9" t="s">
        <v>3420</v>
      </c>
    </row>
    <row r="1560" spans="1:2" x14ac:dyDescent="0.25">
      <c r="A1560" s="9" t="s">
        <v>4995</v>
      </c>
      <c r="B1560" s="9" t="s">
        <v>4994</v>
      </c>
    </row>
    <row r="1561" spans="1:2" x14ac:dyDescent="0.25">
      <c r="A1561" s="9" t="s">
        <v>4993</v>
      </c>
      <c r="B1561" s="9" t="s">
        <v>3421</v>
      </c>
    </row>
    <row r="1562" spans="1:2" x14ac:dyDescent="0.25">
      <c r="A1562" s="9" t="s">
        <v>4992</v>
      </c>
      <c r="B1562" s="9" t="s">
        <v>3422</v>
      </c>
    </row>
    <row r="1563" spans="1:2" x14ac:dyDescent="0.25">
      <c r="A1563" s="9" t="s">
        <v>4991</v>
      </c>
      <c r="B1563" s="9" t="s">
        <v>3423</v>
      </c>
    </row>
    <row r="1564" spans="1:2" x14ac:dyDescent="0.25">
      <c r="A1564" s="9" t="s">
        <v>4990</v>
      </c>
      <c r="B1564" s="9" t="s">
        <v>3424</v>
      </c>
    </row>
    <row r="1565" spans="1:2" x14ac:dyDescent="0.25">
      <c r="A1565" s="9" t="s">
        <v>4989</v>
      </c>
      <c r="B1565" s="9" t="s">
        <v>3425</v>
      </c>
    </row>
    <row r="1566" spans="1:2" x14ac:dyDescent="0.25">
      <c r="A1566" s="9" t="s">
        <v>4988</v>
      </c>
      <c r="B1566" s="9" t="s">
        <v>3426</v>
      </c>
    </row>
    <row r="1567" spans="1:2" x14ac:dyDescent="0.25">
      <c r="A1567" s="9" t="s">
        <v>4987</v>
      </c>
      <c r="B1567" s="9" t="s">
        <v>4986</v>
      </c>
    </row>
    <row r="1568" spans="1:2" x14ac:dyDescent="0.25">
      <c r="A1568" s="9" t="s">
        <v>4985</v>
      </c>
      <c r="B1568" s="9" t="s">
        <v>3427</v>
      </c>
    </row>
    <row r="1569" spans="1:2" x14ac:dyDescent="0.25">
      <c r="A1569" s="9" t="s">
        <v>4984</v>
      </c>
      <c r="B1569" s="9" t="s">
        <v>3428</v>
      </c>
    </row>
    <row r="1570" spans="1:2" x14ac:dyDescent="0.25">
      <c r="A1570" s="9" t="s">
        <v>4983</v>
      </c>
      <c r="B1570" s="9" t="s">
        <v>3429</v>
      </c>
    </row>
    <row r="1571" spans="1:2" x14ac:dyDescent="0.25">
      <c r="A1571" s="9" t="s">
        <v>4982</v>
      </c>
      <c r="B1571" s="9" t="s">
        <v>4981</v>
      </c>
    </row>
    <row r="1572" spans="1:2" x14ac:dyDescent="0.25">
      <c r="A1572" s="9" t="s">
        <v>4980</v>
      </c>
      <c r="B1572" s="9" t="s">
        <v>3430</v>
      </c>
    </row>
    <row r="1573" spans="1:2" x14ac:dyDescent="0.25">
      <c r="A1573" s="9" t="s">
        <v>4979</v>
      </c>
      <c r="B1573" s="9" t="s">
        <v>4978</v>
      </c>
    </row>
    <row r="1574" spans="1:2" x14ac:dyDescent="0.25">
      <c r="A1574" s="9" t="s">
        <v>4977</v>
      </c>
      <c r="B1574" s="9" t="s">
        <v>3431</v>
      </c>
    </row>
    <row r="1575" spans="1:2" x14ac:dyDescent="0.25">
      <c r="A1575" s="9" t="s">
        <v>4976</v>
      </c>
      <c r="B1575" s="9" t="s">
        <v>3432</v>
      </c>
    </row>
    <row r="1576" spans="1:2" x14ac:dyDescent="0.25">
      <c r="A1576" s="9" t="s">
        <v>4975</v>
      </c>
      <c r="B1576" s="9" t="s">
        <v>3433</v>
      </c>
    </row>
    <row r="1577" spans="1:2" x14ac:dyDescent="0.25">
      <c r="A1577" s="9" t="s">
        <v>4974</v>
      </c>
      <c r="B1577" s="9" t="s">
        <v>3434</v>
      </c>
    </row>
    <row r="1578" spans="1:2" x14ac:dyDescent="0.25">
      <c r="A1578" s="9" t="s">
        <v>4973</v>
      </c>
      <c r="B1578" s="9" t="s">
        <v>3435</v>
      </c>
    </row>
    <row r="1579" spans="1:2" x14ac:dyDescent="0.25">
      <c r="A1579" s="9" t="s">
        <v>4972</v>
      </c>
      <c r="B1579" s="9" t="s">
        <v>3436</v>
      </c>
    </row>
    <row r="1580" spans="1:2" x14ac:dyDescent="0.25">
      <c r="A1580" s="9" t="s">
        <v>4971</v>
      </c>
      <c r="B1580" s="9" t="s">
        <v>3437</v>
      </c>
    </row>
    <row r="1581" spans="1:2" x14ac:dyDescent="0.25">
      <c r="A1581" s="9" t="s">
        <v>4970</v>
      </c>
      <c r="B1581" s="9" t="s">
        <v>3438</v>
      </c>
    </row>
    <row r="1582" spans="1:2" x14ac:dyDescent="0.25">
      <c r="A1582" s="9" t="s">
        <v>4969</v>
      </c>
      <c r="B1582" s="9" t="s">
        <v>3439</v>
      </c>
    </row>
    <row r="1583" spans="1:2" x14ac:dyDescent="0.25">
      <c r="A1583" s="9" t="s">
        <v>4968</v>
      </c>
      <c r="B1583" s="9" t="s">
        <v>3440</v>
      </c>
    </row>
    <row r="1584" spans="1:2" x14ac:dyDescent="0.25">
      <c r="A1584" s="9" t="s">
        <v>4967</v>
      </c>
      <c r="B1584" s="9" t="s">
        <v>3441</v>
      </c>
    </row>
    <row r="1585" spans="1:2" x14ac:dyDescent="0.25">
      <c r="A1585" s="9" t="s">
        <v>4966</v>
      </c>
      <c r="B1585" s="9" t="s">
        <v>4965</v>
      </c>
    </row>
    <row r="1586" spans="1:2" x14ac:dyDescent="0.25">
      <c r="A1586" s="9" t="s">
        <v>4964</v>
      </c>
      <c r="B1586" s="9" t="s">
        <v>3442</v>
      </c>
    </row>
    <row r="1587" spans="1:2" x14ac:dyDescent="0.25">
      <c r="A1587" s="9" t="s">
        <v>4963</v>
      </c>
      <c r="B1587" s="9" t="s">
        <v>3443</v>
      </c>
    </row>
    <row r="1588" spans="1:2" x14ac:dyDescent="0.25">
      <c r="A1588" s="9" t="s">
        <v>4962</v>
      </c>
      <c r="B1588" s="9" t="s">
        <v>3444</v>
      </c>
    </row>
    <row r="1589" spans="1:2" x14ac:dyDescent="0.25">
      <c r="A1589" s="9" t="s">
        <v>4961</v>
      </c>
      <c r="B1589" s="9" t="s">
        <v>4960</v>
      </c>
    </row>
    <row r="1590" spans="1:2" x14ac:dyDescent="0.25">
      <c r="A1590" s="9" t="s">
        <v>4959</v>
      </c>
      <c r="B1590" s="9" t="s">
        <v>3445</v>
      </c>
    </row>
    <row r="1591" spans="1:2" x14ac:dyDescent="0.25">
      <c r="A1591" s="9" t="s">
        <v>4958</v>
      </c>
      <c r="B1591" s="9" t="s">
        <v>4957</v>
      </c>
    </row>
    <row r="1592" spans="1:2" x14ac:dyDescent="0.25">
      <c r="A1592" s="9" t="s">
        <v>4956</v>
      </c>
      <c r="B1592" s="9" t="s">
        <v>3446</v>
      </c>
    </row>
    <row r="1593" spans="1:2" x14ac:dyDescent="0.25">
      <c r="A1593" s="9" t="s">
        <v>4955</v>
      </c>
      <c r="B1593" s="9" t="s">
        <v>3447</v>
      </c>
    </row>
    <row r="1594" spans="1:2" x14ac:dyDescent="0.25">
      <c r="A1594" s="9" t="s">
        <v>4954</v>
      </c>
      <c r="B1594" s="9" t="s">
        <v>3448</v>
      </c>
    </row>
    <row r="1595" spans="1:2" x14ac:dyDescent="0.25">
      <c r="A1595" s="9" t="s">
        <v>4953</v>
      </c>
      <c r="B1595" s="9" t="s">
        <v>4952</v>
      </c>
    </row>
    <row r="1596" spans="1:2" x14ac:dyDescent="0.25">
      <c r="A1596" s="9" t="s">
        <v>4951</v>
      </c>
      <c r="B1596" s="9" t="s">
        <v>3449</v>
      </c>
    </row>
    <row r="1597" spans="1:2" x14ac:dyDescent="0.25">
      <c r="A1597" s="9" t="s">
        <v>4950</v>
      </c>
      <c r="B1597" s="9" t="s">
        <v>4949</v>
      </c>
    </row>
    <row r="1598" spans="1:2" x14ac:dyDescent="0.25">
      <c r="A1598" s="9" t="s">
        <v>4948</v>
      </c>
      <c r="B1598" s="9" t="s">
        <v>3450</v>
      </c>
    </row>
    <row r="1599" spans="1:2" x14ac:dyDescent="0.25">
      <c r="A1599" s="9" t="s">
        <v>4947</v>
      </c>
      <c r="B1599" s="9" t="s">
        <v>4946</v>
      </c>
    </row>
    <row r="1600" spans="1:2" x14ac:dyDescent="0.25">
      <c r="A1600" s="9" t="s">
        <v>4945</v>
      </c>
      <c r="B1600" s="9" t="s">
        <v>3451</v>
      </c>
    </row>
    <row r="1601" spans="1:2" x14ac:dyDescent="0.25">
      <c r="A1601" s="9" t="s">
        <v>4944</v>
      </c>
      <c r="B1601" s="9" t="s">
        <v>3452</v>
      </c>
    </row>
    <row r="1602" spans="1:2" x14ac:dyDescent="0.25">
      <c r="A1602" s="9" t="s">
        <v>4943</v>
      </c>
      <c r="B1602" s="9" t="s">
        <v>4942</v>
      </c>
    </row>
    <row r="1603" spans="1:2" x14ac:dyDescent="0.25">
      <c r="A1603" s="9" t="s">
        <v>4941</v>
      </c>
      <c r="B1603" s="9" t="s">
        <v>3453</v>
      </c>
    </row>
    <row r="1604" spans="1:2" x14ac:dyDescent="0.25">
      <c r="A1604" s="9" t="s">
        <v>4940</v>
      </c>
      <c r="B1604" s="9" t="s">
        <v>4939</v>
      </c>
    </row>
    <row r="1605" spans="1:2" x14ac:dyDescent="0.25">
      <c r="A1605" s="9" t="s">
        <v>4938</v>
      </c>
      <c r="B1605" s="9" t="s">
        <v>3454</v>
      </c>
    </row>
    <row r="1606" spans="1:2" x14ac:dyDescent="0.25">
      <c r="A1606" s="9" t="s">
        <v>4937</v>
      </c>
      <c r="B1606" s="9" t="s">
        <v>4936</v>
      </c>
    </row>
    <row r="1607" spans="1:2" x14ac:dyDescent="0.25">
      <c r="A1607" s="9" t="s">
        <v>4935</v>
      </c>
      <c r="B1607" s="9" t="s">
        <v>4934</v>
      </c>
    </row>
    <row r="1608" spans="1:2" x14ac:dyDescent="0.25">
      <c r="A1608" s="9" t="s">
        <v>4933</v>
      </c>
      <c r="B1608" s="9" t="s">
        <v>3455</v>
      </c>
    </row>
    <row r="1609" spans="1:2" x14ac:dyDescent="0.25">
      <c r="A1609" s="9" t="s">
        <v>4932</v>
      </c>
      <c r="B1609" s="9" t="s">
        <v>4931</v>
      </c>
    </row>
    <row r="1610" spans="1:2" x14ac:dyDescent="0.25">
      <c r="A1610" s="9" t="s">
        <v>4930</v>
      </c>
      <c r="B1610" s="9" t="s">
        <v>4929</v>
      </c>
    </row>
    <row r="1611" spans="1:2" x14ac:dyDescent="0.25">
      <c r="A1611" s="9" t="s">
        <v>4928</v>
      </c>
      <c r="B1611" s="9" t="s">
        <v>3456</v>
      </c>
    </row>
    <row r="1612" spans="1:2" x14ac:dyDescent="0.25">
      <c r="A1612" s="9" t="s">
        <v>4927</v>
      </c>
      <c r="B1612" s="9" t="s">
        <v>4926</v>
      </c>
    </row>
    <row r="1613" spans="1:2" x14ac:dyDescent="0.25">
      <c r="A1613" s="9" t="s">
        <v>4925</v>
      </c>
      <c r="B1613" s="9" t="s">
        <v>3457</v>
      </c>
    </row>
    <row r="1614" spans="1:2" x14ac:dyDescent="0.25">
      <c r="A1614" s="9" t="s">
        <v>4924</v>
      </c>
      <c r="B1614" s="9" t="s">
        <v>3458</v>
      </c>
    </row>
    <row r="1615" spans="1:2" x14ac:dyDescent="0.25">
      <c r="A1615" s="9" t="s">
        <v>4923</v>
      </c>
      <c r="B1615" s="9" t="s">
        <v>3459</v>
      </c>
    </row>
    <row r="1616" spans="1:2" x14ac:dyDescent="0.25">
      <c r="A1616" s="9" t="s">
        <v>4922</v>
      </c>
      <c r="B1616" s="9" t="s">
        <v>3460</v>
      </c>
    </row>
    <row r="1617" spans="1:2" x14ac:dyDescent="0.25">
      <c r="A1617" s="9" t="s">
        <v>4921</v>
      </c>
      <c r="B1617" s="9" t="s">
        <v>3461</v>
      </c>
    </row>
    <row r="1618" spans="1:2" x14ac:dyDescent="0.25">
      <c r="A1618" s="9" t="s">
        <v>4920</v>
      </c>
      <c r="B1618" s="9" t="s">
        <v>3462</v>
      </c>
    </row>
    <row r="1619" spans="1:2" x14ac:dyDescent="0.25">
      <c r="A1619" s="9" t="s">
        <v>4919</v>
      </c>
      <c r="B1619" s="9" t="s">
        <v>3463</v>
      </c>
    </row>
    <row r="1620" spans="1:2" x14ac:dyDescent="0.25">
      <c r="A1620" s="9" t="s">
        <v>4918</v>
      </c>
      <c r="B1620" s="9" t="s">
        <v>3464</v>
      </c>
    </row>
    <row r="1621" spans="1:2" x14ac:dyDescent="0.25">
      <c r="A1621" s="9" t="s">
        <v>4917</v>
      </c>
      <c r="B1621" s="9" t="s">
        <v>3465</v>
      </c>
    </row>
    <row r="1622" spans="1:2" x14ac:dyDescent="0.25">
      <c r="A1622" s="9" t="s">
        <v>4916</v>
      </c>
      <c r="B1622" s="9" t="s">
        <v>3466</v>
      </c>
    </row>
    <row r="1623" spans="1:2" x14ac:dyDescent="0.25">
      <c r="A1623" s="9" t="s">
        <v>4915</v>
      </c>
      <c r="B1623" s="9" t="s">
        <v>3467</v>
      </c>
    </row>
    <row r="1624" spans="1:2" x14ac:dyDescent="0.25">
      <c r="A1624" s="9" t="s">
        <v>4914</v>
      </c>
      <c r="B1624" s="9" t="s">
        <v>3468</v>
      </c>
    </row>
    <row r="1625" spans="1:2" x14ac:dyDescent="0.25">
      <c r="A1625" s="9" t="s">
        <v>4913</v>
      </c>
      <c r="B1625" s="9" t="s">
        <v>3469</v>
      </c>
    </row>
    <row r="1626" spans="1:2" x14ac:dyDescent="0.25">
      <c r="A1626" s="9" t="s">
        <v>4912</v>
      </c>
      <c r="B1626" s="9" t="s">
        <v>3470</v>
      </c>
    </row>
    <row r="1627" spans="1:2" x14ac:dyDescent="0.25">
      <c r="A1627" s="9" t="s">
        <v>4911</v>
      </c>
      <c r="B1627" s="9" t="s">
        <v>3471</v>
      </c>
    </row>
    <row r="1628" spans="1:2" x14ac:dyDescent="0.25">
      <c r="A1628" s="9" t="s">
        <v>4910</v>
      </c>
      <c r="B1628" s="9" t="s">
        <v>3472</v>
      </c>
    </row>
    <row r="1629" spans="1:2" x14ac:dyDescent="0.25">
      <c r="A1629" s="9" t="s">
        <v>4909</v>
      </c>
      <c r="B1629" s="9" t="s">
        <v>3473</v>
      </c>
    </row>
    <row r="1630" spans="1:2" x14ac:dyDescent="0.25">
      <c r="A1630" s="9" t="s">
        <v>4908</v>
      </c>
      <c r="B1630" s="9" t="s">
        <v>3474</v>
      </c>
    </row>
    <row r="1631" spans="1:2" x14ac:dyDescent="0.25">
      <c r="A1631" s="9" t="s">
        <v>4907</v>
      </c>
      <c r="B1631" s="9" t="s">
        <v>3475</v>
      </c>
    </row>
    <row r="1632" spans="1:2" x14ac:dyDescent="0.25">
      <c r="A1632" s="9" t="s">
        <v>4906</v>
      </c>
      <c r="B1632" s="9" t="s">
        <v>3476</v>
      </c>
    </row>
    <row r="1633" spans="1:2" x14ac:dyDescent="0.25">
      <c r="A1633" s="9" t="s">
        <v>4905</v>
      </c>
      <c r="B1633" s="9" t="s">
        <v>4904</v>
      </c>
    </row>
    <row r="1634" spans="1:2" x14ac:dyDescent="0.25">
      <c r="A1634" s="9" t="s">
        <v>4903</v>
      </c>
      <c r="B1634" s="9" t="s">
        <v>3477</v>
      </c>
    </row>
    <row r="1635" spans="1:2" x14ac:dyDescent="0.25">
      <c r="A1635" s="9" t="s">
        <v>4902</v>
      </c>
      <c r="B1635" s="9" t="s">
        <v>4901</v>
      </c>
    </row>
    <row r="1636" spans="1:2" x14ac:dyDescent="0.25">
      <c r="A1636" s="9" t="s">
        <v>4900</v>
      </c>
      <c r="B1636" s="9" t="s">
        <v>4899</v>
      </c>
    </row>
    <row r="1637" spans="1:2" x14ac:dyDescent="0.25">
      <c r="A1637" s="9" t="s">
        <v>4898</v>
      </c>
      <c r="B1637" s="9" t="s">
        <v>4897</v>
      </c>
    </row>
    <row r="1638" spans="1:2" x14ac:dyDescent="0.25">
      <c r="A1638" s="9" t="s">
        <v>4896</v>
      </c>
      <c r="B1638" s="9" t="s">
        <v>4895</v>
      </c>
    </row>
    <row r="1639" spans="1:2" x14ac:dyDescent="0.25">
      <c r="A1639" s="9" t="s">
        <v>4894</v>
      </c>
      <c r="B1639" s="9" t="s">
        <v>4893</v>
      </c>
    </row>
    <row r="1640" spans="1:2" x14ac:dyDescent="0.25">
      <c r="A1640" s="9" t="s">
        <v>4892</v>
      </c>
      <c r="B1640" s="9" t="s">
        <v>3478</v>
      </c>
    </row>
    <row r="1641" spans="1:2" x14ac:dyDescent="0.25">
      <c r="A1641" s="9" t="s">
        <v>4891</v>
      </c>
      <c r="B1641" s="9" t="s">
        <v>3479</v>
      </c>
    </row>
    <row r="1642" spans="1:2" x14ac:dyDescent="0.25">
      <c r="A1642" s="9" t="s">
        <v>4890</v>
      </c>
      <c r="B1642" s="9" t="s">
        <v>3480</v>
      </c>
    </row>
    <row r="1643" spans="1:2" x14ac:dyDescent="0.25">
      <c r="A1643" s="9" t="s">
        <v>4889</v>
      </c>
      <c r="B1643" s="9" t="s">
        <v>3481</v>
      </c>
    </row>
    <row r="1644" spans="1:2" x14ac:dyDescent="0.25">
      <c r="A1644" s="9" t="s">
        <v>4888</v>
      </c>
      <c r="B1644" s="9" t="s">
        <v>3482</v>
      </c>
    </row>
    <row r="1645" spans="1:2" x14ac:dyDescent="0.25">
      <c r="A1645" s="9" t="s">
        <v>4887</v>
      </c>
      <c r="B1645" s="9" t="s">
        <v>3483</v>
      </c>
    </row>
    <row r="1646" spans="1:2" x14ac:dyDescent="0.25">
      <c r="A1646" s="9" t="s">
        <v>4886</v>
      </c>
      <c r="B1646" s="9" t="s">
        <v>3484</v>
      </c>
    </row>
    <row r="1647" spans="1:2" x14ac:dyDescent="0.25">
      <c r="A1647" s="9" t="s">
        <v>4885</v>
      </c>
      <c r="B1647" s="9" t="s">
        <v>3485</v>
      </c>
    </row>
    <row r="1648" spans="1:2" x14ac:dyDescent="0.25">
      <c r="A1648" s="9" t="s">
        <v>4884</v>
      </c>
      <c r="B1648" s="9" t="s">
        <v>3486</v>
      </c>
    </row>
    <row r="1649" spans="1:2" x14ac:dyDescent="0.25">
      <c r="A1649" s="9" t="s">
        <v>4883</v>
      </c>
      <c r="B1649" s="9" t="s">
        <v>3487</v>
      </c>
    </row>
    <row r="1650" spans="1:2" x14ac:dyDescent="0.25">
      <c r="A1650" s="9" t="s">
        <v>4882</v>
      </c>
      <c r="B1650" s="9" t="s">
        <v>3488</v>
      </c>
    </row>
    <row r="1651" spans="1:2" x14ac:dyDescent="0.25">
      <c r="A1651" s="9" t="s">
        <v>4881</v>
      </c>
      <c r="B1651" s="9" t="s">
        <v>3489</v>
      </c>
    </row>
    <row r="1652" spans="1:2" x14ac:dyDescent="0.25">
      <c r="A1652" s="9" t="s">
        <v>4880</v>
      </c>
      <c r="B1652" s="9" t="s">
        <v>3490</v>
      </c>
    </row>
    <row r="1653" spans="1:2" x14ac:dyDescent="0.25">
      <c r="A1653" s="9" t="s">
        <v>4879</v>
      </c>
      <c r="B1653" s="9" t="s">
        <v>3491</v>
      </c>
    </row>
    <row r="1654" spans="1:2" x14ac:dyDescent="0.25">
      <c r="A1654" s="9" t="s">
        <v>4878</v>
      </c>
      <c r="B1654" s="9" t="s">
        <v>3492</v>
      </c>
    </row>
    <row r="1655" spans="1:2" x14ac:dyDescent="0.25">
      <c r="A1655" s="9" t="s">
        <v>4877</v>
      </c>
      <c r="B1655" s="9" t="s">
        <v>3493</v>
      </c>
    </row>
    <row r="1656" spans="1:2" x14ac:dyDescent="0.25">
      <c r="A1656" s="9" t="s">
        <v>4876</v>
      </c>
      <c r="B1656" s="9" t="s">
        <v>3494</v>
      </c>
    </row>
    <row r="1657" spans="1:2" x14ac:dyDescent="0.25">
      <c r="A1657" s="9" t="s">
        <v>4875</v>
      </c>
      <c r="B1657" s="9" t="s">
        <v>3495</v>
      </c>
    </row>
    <row r="1658" spans="1:2" x14ac:dyDescent="0.25">
      <c r="A1658" s="9" t="s">
        <v>4874</v>
      </c>
      <c r="B1658" s="9" t="s">
        <v>3496</v>
      </c>
    </row>
    <row r="1659" spans="1:2" x14ac:dyDescent="0.25">
      <c r="A1659" s="9" t="s">
        <v>4873</v>
      </c>
      <c r="B1659" s="9" t="s">
        <v>3497</v>
      </c>
    </row>
    <row r="1660" spans="1:2" x14ac:dyDescent="0.25">
      <c r="A1660" s="9" t="s">
        <v>4872</v>
      </c>
      <c r="B1660" s="9" t="s">
        <v>3498</v>
      </c>
    </row>
    <row r="1661" spans="1:2" x14ac:dyDescent="0.25">
      <c r="A1661" s="9" t="s">
        <v>4871</v>
      </c>
      <c r="B1661" s="9" t="s">
        <v>3499</v>
      </c>
    </row>
    <row r="1662" spans="1:2" x14ac:dyDescent="0.25">
      <c r="A1662" s="9" t="s">
        <v>4870</v>
      </c>
      <c r="B1662" s="9" t="s">
        <v>3500</v>
      </c>
    </row>
    <row r="1663" spans="1:2" x14ac:dyDescent="0.25">
      <c r="A1663" s="9" t="s">
        <v>4869</v>
      </c>
      <c r="B1663" s="9" t="s">
        <v>3501</v>
      </c>
    </row>
    <row r="1664" spans="1:2" x14ac:dyDescent="0.25">
      <c r="A1664" s="9" t="s">
        <v>4868</v>
      </c>
      <c r="B1664" s="9" t="s">
        <v>3502</v>
      </c>
    </row>
    <row r="1665" spans="1:2" x14ac:dyDescent="0.25">
      <c r="A1665" s="9" t="s">
        <v>4867</v>
      </c>
      <c r="B1665" s="9" t="s">
        <v>3503</v>
      </c>
    </row>
    <row r="1666" spans="1:2" x14ac:dyDescent="0.25">
      <c r="A1666" s="9" t="s">
        <v>4866</v>
      </c>
      <c r="B1666" s="9" t="s">
        <v>3504</v>
      </c>
    </row>
    <row r="1667" spans="1:2" x14ac:dyDescent="0.25">
      <c r="A1667" s="9" t="s">
        <v>4865</v>
      </c>
      <c r="B1667" s="9" t="s">
        <v>3505</v>
      </c>
    </row>
    <row r="1668" spans="1:2" x14ac:dyDescent="0.25">
      <c r="A1668" s="9" t="s">
        <v>4864</v>
      </c>
      <c r="B1668" s="9" t="s">
        <v>3506</v>
      </c>
    </row>
    <row r="1669" spans="1:2" x14ac:dyDescent="0.25">
      <c r="A1669" s="9" t="s">
        <v>4863</v>
      </c>
      <c r="B1669" s="9" t="s">
        <v>3507</v>
      </c>
    </row>
    <row r="1670" spans="1:2" x14ac:dyDescent="0.25">
      <c r="A1670" s="9" t="s">
        <v>4862</v>
      </c>
      <c r="B1670" s="9" t="s">
        <v>3508</v>
      </c>
    </row>
    <row r="1671" spans="1:2" x14ac:dyDescent="0.25">
      <c r="A1671" s="9" t="s">
        <v>4861</v>
      </c>
      <c r="B1671" s="9" t="s">
        <v>3509</v>
      </c>
    </row>
    <row r="1672" spans="1:2" x14ac:dyDescent="0.25">
      <c r="A1672" s="9" t="s">
        <v>4860</v>
      </c>
      <c r="B1672" s="9" t="s">
        <v>3510</v>
      </c>
    </row>
    <row r="1673" spans="1:2" x14ac:dyDescent="0.25">
      <c r="A1673" s="9" t="s">
        <v>4859</v>
      </c>
      <c r="B1673" s="9" t="s">
        <v>3511</v>
      </c>
    </row>
    <row r="1674" spans="1:2" x14ac:dyDescent="0.25">
      <c r="A1674" s="9" t="s">
        <v>4858</v>
      </c>
      <c r="B1674" s="9" t="s">
        <v>3512</v>
      </c>
    </row>
    <row r="1675" spans="1:2" x14ac:dyDescent="0.25">
      <c r="A1675" s="9" t="s">
        <v>4857</v>
      </c>
      <c r="B1675" s="9" t="s">
        <v>3513</v>
      </c>
    </row>
    <row r="1676" spans="1:2" x14ac:dyDescent="0.25">
      <c r="A1676" s="9" t="s">
        <v>4856</v>
      </c>
      <c r="B1676" s="9" t="s">
        <v>3514</v>
      </c>
    </row>
    <row r="1677" spans="1:2" x14ac:dyDescent="0.25">
      <c r="A1677" s="9" t="s">
        <v>4855</v>
      </c>
      <c r="B1677" s="9" t="s">
        <v>3515</v>
      </c>
    </row>
    <row r="1678" spans="1:2" x14ac:dyDescent="0.25">
      <c r="A1678" s="9" t="s">
        <v>4854</v>
      </c>
      <c r="B1678" s="9" t="s">
        <v>3516</v>
      </c>
    </row>
    <row r="1679" spans="1:2" x14ac:dyDescent="0.25">
      <c r="A1679" s="9" t="s">
        <v>4853</v>
      </c>
      <c r="B1679" s="9" t="s">
        <v>3517</v>
      </c>
    </row>
    <row r="1680" spans="1:2" x14ac:dyDescent="0.25">
      <c r="A1680" s="9" t="s">
        <v>4852</v>
      </c>
      <c r="B1680" s="9" t="s">
        <v>3518</v>
      </c>
    </row>
    <row r="1681" spans="1:2" x14ac:dyDescent="0.25">
      <c r="A1681" s="9" t="s">
        <v>4851</v>
      </c>
      <c r="B1681" s="9" t="s">
        <v>3519</v>
      </c>
    </row>
    <row r="1682" spans="1:2" x14ac:dyDescent="0.25">
      <c r="A1682" s="9" t="s">
        <v>4850</v>
      </c>
      <c r="B1682" s="9" t="s">
        <v>3520</v>
      </c>
    </row>
    <row r="1683" spans="1:2" x14ac:dyDescent="0.25">
      <c r="A1683" s="9" t="s">
        <v>4849</v>
      </c>
      <c r="B1683" s="9" t="s">
        <v>3521</v>
      </c>
    </row>
    <row r="1684" spans="1:2" x14ac:dyDescent="0.25">
      <c r="A1684" s="9" t="s">
        <v>4848</v>
      </c>
      <c r="B1684" s="9" t="s">
        <v>3522</v>
      </c>
    </row>
    <row r="1685" spans="1:2" x14ac:dyDescent="0.25">
      <c r="A1685" s="9" t="s">
        <v>4847</v>
      </c>
      <c r="B1685" s="9" t="s">
        <v>3523</v>
      </c>
    </row>
    <row r="1686" spans="1:2" x14ac:dyDescent="0.25">
      <c r="A1686" s="9" t="s">
        <v>4846</v>
      </c>
      <c r="B1686" s="9" t="s">
        <v>3524</v>
      </c>
    </row>
    <row r="1687" spans="1:2" x14ac:dyDescent="0.25">
      <c r="A1687" s="9" t="s">
        <v>4845</v>
      </c>
      <c r="B1687" s="9" t="s">
        <v>3525</v>
      </c>
    </row>
    <row r="1688" spans="1:2" x14ac:dyDescent="0.25">
      <c r="A1688" s="9" t="s">
        <v>4844</v>
      </c>
      <c r="B1688" s="9" t="s">
        <v>3526</v>
      </c>
    </row>
    <row r="1689" spans="1:2" x14ac:dyDescent="0.25">
      <c r="A1689" s="9" t="s">
        <v>4843</v>
      </c>
      <c r="B1689" s="9" t="s">
        <v>3527</v>
      </c>
    </row>
    <row r="1690" spans="1:2" x14ac:dyDescent="0.25">
      <c r="A1690" s="9" t="s">
        <v>4842</v>
      </c>
      <c r="B1690" s="9" t="s">
        <v>3528</v>
      </c>
    </row>
    <row r="1691" spans="1:2" x14ac:dyDescent="0.25">
      <c r="A1691" s="9" t="s">
        <v>4841</v>
      </c>
      <c r="B1691" s="9" t="s">
        <v>3529</v>
      </c>
    </row>
    <row r="1692" spans="1:2" x14ac:dyDescent="0.25">
      <c r="A1692" s="9" t="s">
        <v>4840</v>
      </c>
      <c r="B1692" s="9" t="s">
        <v>3530</v>
      </c>
    </row>
    <row r="1693" spans="1:2" x14ac:dyDescent="0.25">
      <c r="A1693" s="9" t="s">
        <v>4839</v>
      </c>
      <c r="B1693" s="9" t="s">
        <v>3531</v>
      </c>
    </row>
    <row r="1694" spans="1:2" x14ac:dyDescent="0.25">
      <c r="A1694" s="9" t="s">
        <v>4838</v>
      </c>
      <c r="B1694" s="9" t="s">
        <v>3532</v>
      </c>
    </row>
    <row r="1695" spans="1:2" x14ac:dyDescent="0.25">
      <c r="A1695" s="9" t="s">
        <v>4837</v>
      </c>
      <c r="B1695" s="9" t="s">
        <v>3533</v>
      </c>
    </row>
    <row r="1696" spans="1:2" x14ac:dyDescent="0.25">
      <c r="A1696" s="9" t="s">
        <v>4836</v>
      </c>
      <c r="B1696" s="9" t="s">
        <v>3534</v>
      </c>
    </row>
    <row r="1697" spans="1:2" x14ac:dyDescent="0.25">
      <c r="A1697" s="9" t="s">
        <v>4835</v>
      </c>
      <c r="B1697" s="9" t="s">
        <v>3535</v>
      </c>
    </row>
    <row r="1698" spans="1:2" x14ac:dyDescent="0.25">
      <c r="A1698" s="9" t="s">
        <v>4834</v>
      </c>
      <c r="B1698" s="9" t="s">
        <v>3536</v>
      </c>
    </row>
    <row r="1699" spans="1:2" x14ac:dyDescent="0.25">
      <c r="A1699" s="9" t="s">
        <v>4833</v>
      </c>
      <c r="B1699" s="9" t="s">
        <v>3537</v>
      </c>
    </row>
    <row r="1700" spans="1:2" x14ac:dyDescent="0.25">
      <c r="A1700" s="9" t="s">
        <v>4832</v>
      </c>
      <c r="B1700" s="9" t="s">
        <v>3538</v>
      </c>
    </row>
    <row r="1701" spans="1:2" x14ac:dyDescent="0.25">
      <c r="A1701" s="9" t="s">
        <v>4831</v>
      </c>
      <c r="B1701" s="9" t="s">
        <v>3539</v>
      </c>
    </row>
    <row r="1702" spans="1:2" x14ac:dyDescent="0.25">
      <c r="A1702" s="9" t="s">
        <v>4830</v>
      </c>
      <c r="B1702" s="9" t="s">
        <v>3540</v>
      </c>
    </row>
    <row r="1703" spans="1:2" x14ac:dyDescent="0.25">
      <c r="A1703" s="9" t="s">
        <v>4829</v>
      </c>
      <c r="B1703" s="9" t="s">
        <v>3541</v>
      </c>
    </row>
    <row r="1704" spans="1:2" x14ac:dyDescent="0.25">
      <c r="A1704" s="9" t="s">
        <v>4828</v>
      </c>
      <c r="B1704" s="9" t="s">
        <v>3542</v>
      </c>
    </row>
    <row r="1705" spans="1:2" x14ac:dyDescent="0.25">
      <c r="A1705" s="9" t="s">
        <v>4827</v>
      </c>
      <c r="B1705" s="9" t="s">
        <v>3543</v>
      </c>
    </row>
    <row r="1706" spans="1:2" x14ac:dyDescent="0.25">
      <c r="A1706" s="9" t="s">
        <v>4826</v>
      </c>
      <c r="B1706" s="9" t="s">
        <v>3544</v>
      </c>
    </row>
    <row r="1707" spans="1:2" x14ac:dyDescent="0.25">
      <c r="A1707" s="9" t="s">
        <v>4825</v>
      </c>
      <c r="B1707" s="9" t="s">
        <v>3545</v>
      </c>
    </row>
    <row r="1708" spans="1:2" x14ac:dyDescent="0.25">
      <c r="A1708" s="9" t="s">
        <v>4824</v>
      </c>
      <c r="B1708" s="9" t="s">
        <v>3546</v>
      </c>
    </row>
    <row r="1709" spans="1:2" x14ac:dyDescent="0.25">
      <c r="A1709" s="9" t="s">
        <v>4823</v>
      </c>
      <c r="B1709" s="9" t="s">
        <v>3547</v>
      </c>
    </row>
    <row r="1710" spans="1:2" x14ac:dyDescent="0.25">
      <c r="A1710" s="9" t="s">
        <v>4822</v>
      </c>
      <c r="B1710" s="9" t="s">
        <v>3548</v>
      </c>
    </row>
    <row r="1711" spans="1:2" x14ac:dyDescent="0.25">
      <c r="A1711" s="9" t="s">
        <v>4821</v>
      </c>
      <c r="B1711" s="9" t="s">
        <v>3549</v>
      </c>
    </row>
    <row r="1712" spans="1:2" x14ac:dyDescent="0.25">
      <c r="A1712" s="9" t="s">
        <v>4820</v>
      </c>
      <c r="B1712" s="9" t="s">
        <v>3550</v>
      </c>
    </row>
    <row r="1713" spans="1:2" x14ac:dyDescent="0.25">
      <c r="A1713" s="9" t="s">
        <v>4819</v>
      </c>
      <c r="B1713" s="9" t="s">
        <v>3551</v>
      </c>
    </row>
    <row r="1714" spans="1:2" x14ac:dyDescent="0.25">
      <c r="A1714" s="9" t="s">
        <v>4818</v>
      </c>
      <c r="B1714" s="9" t="s">
        <v>3552</v>
      </c>
    </row>
    <row r="1715" spans="1:2" x14ac:dyDescent="0.25">
      <c r="A1715" s="9" t="s">
        <v>4817</v>
      </c>
      <c r="B1715" s="9" t="s">
        <v>3553</v>
      </c>
    </row>
    <row r="1716" spans="1:2" x14ac:dyDescent="0.25">
      <c r="A1716" s="9" t="s">
        <v>4816</v>
      </c>
      <c r="B1716" s="9" t="s">
        <v>3554</v>
      </c>
    </row>
    <row r="1717" spans="1:2" x14ac:dyDescent="0.25">
      <c r="A1717" s="9" t="s">
        <v>4815</v>
      </c>
      <c r="B1717" s="9" t="s">
        <v>3555</v>
      </c>
    </row>
    <row r="1718" spans="1:2" x14ac:dyDescent="0.25">
      <c r="A1718" s="9" t="s">
        <v>4814</v>
      </c>
      <c r="B1718" s="9" t="s">
        <v>3556</v>
      </c>
    </row>
    <row r="1719" spans="1:2" x14ac:dyDescent="0.25">
      <c r="A1719" s="9" t="s">
        <v>4813</v>
      </c>
      <c r="B1719" s="9" t="s">
        <v>3557</v>
      </c>
    </row>
    <row r="1720" spans="1:2" x14ac:dyDescent="0.25">
      <c r="A1720" s="9" t="s">
        <v>4812</v>
      </c>
      <c r="B1720" s="9" t="s">
        <v>3558</v>
      </c>
    </row>
    <row r="1721" spans="1:2" x14ac:dyDescent="0.25">
      <c r="A1721" s="9" t="s">
        <v>4811</v>
      </c>
      <c r="B1721" s="9" t="s">
        <v>3559</v>
      </c>
    </row>
    <row r="1722" spans="1:2" x14ac:dyDescent="0.25">
      <c r="A1722" s="9" t="s">
        <v>4810</v>
      </c>
      <c r="B1722" s="9" t="s">
        <v>3560</v>
      </c>
    </row>
    <row r="1723" spans="1:2" x14ac:dyDescent="0.25">
      <c r="A1723" s="9" t="s">
        <v>4809</v>
      </c>
      <c r="B1723" s="9" t="s">
        <v>3561</v>
      </c>
    </row>
    <row r="1724" spans="1:2" x14ac:dyDescent="0.25">
      <c r="A1724" s="9" t="s">
        <v>4808</v>
      </c>
      <c r="B1724" s="9" t="s">
        <v>3562</v>
      </c>
    </row>
    <row r="1725" spans="1:2" x14ac:dyDescent="0.25">
      <c r="A1725" s="9" t="s">
        <v>4807</v>
      </c>
      <c r="B1725" s="9" t="s">
        <v>3563</v>
      </c>
    </row>
    <row r="1726" spans="1:2" x14ac:dyDescent="0.25">
      <c r="A1726" s="9" t="s">
        <v>4806</v>
      </c>
      <c r="B1726" s="9" t="s">
        <v>3564</v>
      </c>
    </row>
    <row r="1727" spans="1:2" x14ac:dyDescent="0.25">
      <c r="A1727" s="9" t="s">
        <v>4805</v>
      </c>
      <c r="B1727" s="9" t="s">
        <v>3565</v>
      </c>
    </row>
    <row r="1728" spans="1:2" x14ac:dyDescent="0.25">
      <c r="A1728" s="9" t="s">
        <v>4804</v>
      </c>
      <c r="B1728" s="9" t="s">
        <v>3566</v>
      </c>
    </row>
    <row r="1729" spans="1:2" x14ac:dyDescent="0.25">
      <c r="A1729" s="9" t="s">
        <v>4803</v>
      </c>
      <c r="B1729" s="9" t="s">
        <v>3567</v>
      </c>
    </row>
    <row r="1730" spans="1:2" x14ac:dyDescent="0.25">
      <c r="A1730" s="9" t="s">
        <v>4802</v>
      </c>
      <c r="B1730" s="9" t="s">
        <v>3568</v>
      </c>
    </row>
    <row r="1731" spans="1:2" x14ac:dyDescent="0.25">
      <c r="A1731" s="9" t="s">
        <v>4801</v>
      </c>
      <c r="B1731" s="9" t="s">
        <v>3569</v>
      </c>
    </row>
    <row r="1732" spans="1:2" x14ac:dyDescent="0.25">
      <c r="A1732" s="9" t="s">
        <v>4800</v>
      </c>
      <c r="B1732" s="9" t="s">
        <v>3570</v>
      </c>
    </row>
    <row r="1733" spans="1:2" x14ac:dyDescent="0.25">
      <c r="A1733" s="9" t="s">
        <v>4799</v>
      </c>
      <c r="B1733" s="9" t="s">
        <v>3571</v>
      </c>
    </row>
    <row r="1734" spans="1:2" x14ac:dyDescent="0.25">
      <c r="A1734" s="9" t="s">
        <v>4798</v>
      </c>
      <c r="B1734" s="9" t="s">
        <v>3572</v>
      </c>
    </row>
    <row r="1735" spans="1:2" x14ac:dyDescent="0.25">
      <c r="A1735" s="9" t="s">
        <v>4797</v>
      </c>
      <c r="B1735" s="9" t="s">
        <v>3573</v>
      </c>
    </row>
    <row r="1736" spans="1:2" x14ac:dyDescent="0.25">
      <c r="A1736" s="9" t="s">
        <v>4796</v>
      </c>
      <c r="B1736" s="9" t="s">
        <v>3574</v>
      </c>
    </row>
    <row r="1737" spans="1:2" x14ac:dyDescent="0.25">
      <c r="A1737" s="9" t="s">
        <v>4795</v>
      </c>
      <c r="B1737" s="9" t="s">
        <v>3575</v>
      </c>
    </row>
    <row r="1738" spans="1:2" x14ac:dyDescent="0.25">
      <c r="A1738" s="9" t="s">
        <v>4794</v>
      </c>
      <c r="B1738" s="9" t="s">
        <v>3576</v>
      </c>
    </row>
    <row r="1739" spans="1:2" x14ac:dyDescent="0.25">
      <c r="A1739" s="9" t="s">
        <v>4793</v>
      </c>
      <c r="B1739" s="9" t="s">
        <v>3577</v>
      </c>
    </row>
    <row r="1740" spans="1:2" x14ac:dyDescent="0.25">
      <c r="A1740" s="9" t="s">
        <v>4792</v>
      </c>
      <c r="B1740" s="9" t="s">
        <v>3578</v>
      </c>
    </row>
    <row r="1741" spans="1:2" x14ac:dyDescent="0.25">
      <c r="A1741" s="9" t="s">
        <v>4791</v>
      </c>
      <c r="B1741" s="9" t="s">
        <v>3579</v>
      </c>
    </row>
    <row r="1742" spans="1:2" x14ac:dyDescent="0.25">
      <c r="A1742" s="9" t="s">
        <v>4790</v>
      </c>
      <c r="B1742" s="9" t="s">
        <v>3580</v>
      </c>
    </row>
    <row r="1743" spans="1:2" x14ac:dyDescent="0.25">
      <c r="A1743" s="9" t="s">
        <v>4789</v>
      </c>
      <c r="B1743" s="9" t="s">
        <v>3581</v>
      </c>
    </row>
    <row r="1744" spans="1:2" x14ac:dyDescent="0.25">
      <c r="A1744" s="9" t="s">
        <v>4788</v>
      </c>
      <c r="B1744" s="9" t="s">
        <v>3582</v>
      </c>
    </row>
    <row r="1745" spans="1:2" x14ac:dyDescent="0.25">
      <c r="A1745" s="9" t="s">
        <v>4787</v>
      </c>
      <c r="B1745" s="9" t="s">
        <v>3583</v>
      </c>
    </row>
    <row r="1746" spans="1:2" x14ac:dyDescent="0.25">
      <c r="A1746" s="9" t="s">
        <v>4786</v>
      </c>
      <c r="B1746" s="9" t="s">
        <v>3584</v>
      </c>
    </row>
    <row r="1747" spans="1:2" x14ac:dyDescent="0.25">
      <c r="A1747" s="9" t="s">
        <v>4785</v>
      </c>
      <c r="B1747" s="9" t="s">
        <v>3585</v>
      </c>
    </row>
    <row r="1748" spans="1:2" x14ac:dyDescent="0.25">
      <c r="A1748" s="9" t="s">
        <v>4784</v>
      </c>
      <c r="B1748" s="9" t="s">
        <v>3586</v>
      </c>
    </row>
    <row r="1749" spans="1:2" x14ac:dyDescent="0.25">
      <c r="A1749" s="9" t="s">
        <v>4783</v>
      </c>
      <c r="B1749" s="9" t="s">
        <v>3587</v>
      </c>
    </row>
    <row r="1750" spans="1:2" x14ac:dyDescent="0.25">
      <c r="A1750" s="9" t="s">
        <v>4782</v>
      </c>
      <c r="B1750" s="9" t="s">
        <v>3588</v>
      </c>
    </row>
    <row r="1751" spans="1:2" x14ac:dyDescent="0.25">
      <c r="A1751" s="9" t="s">
        <v>4781</v>
      </c>
      <c r="B1751" s="9" t="s">
        <v>3589</v>
      </c>
    </row>
    <row r="1752" spans="1:2" x14ac:dyDescent="0.25">
      <c r="A1752" s="9" t="s">
        <v>4780</v>
      </c>
      <c r="B1752" s="9" t="s">
        <v>3590</v>
      </c>
    </row>
    <row r="1753" spans="1:2" x14ac:dyDescent="0.25">
      <c r="A1753" s="9" t="s">
        <v>4779</v>
      </c>
      <c r="B1753" s="9" t="s">
        <v>3591</v>
      </c>
    </row>
    <row r="1754" spans="1:2" x14ac:dyDescent="0.25">
      <c r="A1754" s="9" t="s">
        <v>4778</v>
      </c>
      <c r="B1754" s="9" t="s">
        <v>3592</v>
      </c>
    </row>
    <row r="1755" spans="1:2" x14ac:dyDescent="0.25">
      <c r="A1755" s="9" t="s">
        <v>4777</v>
      </c>
      <c r="B1755" s="9" t="s">
        <v>3593</v>
      </c>
    </row>
    <row r="1756" spans="1:2" x14ac:dyDescent="0.25">
      <c r="A1756" s="9" t="s">
        <v>4776</v>
      </c>
      <c r="B1756" s="9" t="s">
        <v>3594</v>
      </c>
    </row>
    <row r="1757" spans="1:2" x14ac:dyDescent="0.25">
      <c r="A1757" s="9" t="s">
        <v>4775</v>
      </c>
      <c r="B1757" s="9" t="s">
        <v>3595</v>
      </c>
    </row>
    <row r="1758" spans="1:2" x14ac:dyDescent="0.25">
      <c r="A1758" s="9" t="s">
        <v>4774</v>
      </c>
      <c r="B1758" s="9" t="s">
        <v>3596</v>
      </c>
    </row>
    <row r="1759" spans="1:2" x14ac:dyDescent="0.25">
      <c r="A1759" s="9" t="s">
        <v>4773</v>
      </c>
      <c r="B1759" s="9" t="s">
        <v>3597</v>
      </c>
    </row>
    <row r="1760" spans="1:2" x14ac:dyDescent="0.25">
      <c r="A1760" s="9" t="s">
        <v>4772</v>
      </c>
      <c r="B1760" s="9" t="s">
        <v>3598</v>
      </c>
    </row>
    <row r="1761" spans="1:2" x14ac:dyDescent="0.25">
      <c r="A1761" s="9" t="s">
        <v>4771</v>
      </c>
      <c r="B1761" s="9" t="s">
        <v>3599</v>
      </c>
    </row>
    <row r="1762" spans="1:2" x14ac:dyDescent="0.25">
      <c r="A1762" s="9" t="s">
        <v>4770</v>
      </c>
      <c r="B1762" s="9" t="s">
        <v>3600</v>
      </c>
    </row>
    <row r="1763" spans="1:2" x14ac:dyDescent="0.25">
      <c r="A1763" s="9" t="s">
        <v>4769</v>
      </c>
      <c r="B1763" s="9" t="s">
        <v>3601</v>
      </c>
    </row>
    <row r="1764" spans="1:2" x14ac:dyDescent="0.25">
      <c r="A1764" s="9" t="s">
        <v>4768</v>
      </c>
      <c r="B1764" s="9" t="s">
        <v>3602</v>
      </c>
    </row>
    <row r="1765" spans="1:2" x14ac:dyDescent="0.25">
      <c r="A1765" s="9" t="s">
        <v>4767</v>
      </c>
      <c r="B1765" s="9" t="s">
        <v>3603</v>
      </c>
    </row>
    <row r="1766" spans="1:2" x14ac:dyDescent="0.25">
      <c r="A1766" s="9" t="s">
        <v>4766</v>
      </c>
      <c r="B1766" s="9" t="s">
        <v>3604</v>
      </c>
    </row>
    <row r="1767" spans="1:2" x14ac:dyDescent="0.25">
      <c r="A1767" s="9" t="s">
        <v>4765</v>
      </c>
      <c r="B1767" s="9" t="s">
        <v>3605</v>
      </c>
    </row>
    <row r="1768" spans="1:2" x14ac:dyDescent="0.25">
      <c r="A1768" s="9" t="s">
        <v>4764</v>
      </c>
      <c r="B1768" s="9" t="s">
        <v>3606</v>
      </c>
    </row>
    <row r="1769" spans="1:2" x14ac:dyDescent="0.25">
      <c r="A1769" s="9" t="s">
        <v>4763</v>
      </c>
      <c r="B1769" s="9" t="s">
        <v>3607</v>
      </c>
    </row>
    <row r="1770" spans="1:2" x14ac:dyDescent="0.25">
      <c r="A1770" s="9" t="s">
        <v>4762</v>
      </c>
      <c r="B1770" s="9" t="s">
        <v>3608</v>
      </c>
    </row>
    <row r="1771" spans="1:2" x14ac:dyDescent="0.25">
      <c r="A1771" s="9" t="s">
        <v>4761</v>
      </c>
      <c r="B1771" s="9" t="s">
        <v>3609</v>
      </c>
    </row>
    <row r="1772" spans="1:2" x14ac:dyDescent="0.25">
      <c r="A1772" s="9" t="s">
        <v>4760</v>
      </c>
      <c r="B1772" s="9" t="s">
        <v>3610</v>
      </c>
    </row>
    <row r="1773" spans="1:2" x14ac:dyDescent="0.25">
      <c r="A1773" s="9" t="s">
        <v>4759</v>
      </c>
      <c r="B1773" s="9" t="s">
        <v>3611</v>
      </c>
    </row>
    <row r="1774" spans="1:2" x14ac:dyDescent="0.25">
      <c r="A1774" s="9" t="s">
        <v>4758</v>
      </c>
      <c r="B1774" s="9" t="s">
        <v>3612</v>
      </c>
    </row>
    <row r="1775" spans="1:2" x14ac:dyDescent="0.25">
      <c r="A1775" s="9" t="s">
        <v>4757</v>
      </c>
      <c r="B1775" s="9" t="s">
        <v>3613</v>
      </c>
    </row>
    <row r="1776" spans="1:2" x14ac:dyDescent="0.25">
      <c r="A1776" s="9" t="s">
        <v>4756</v>
      </c>
      <c r="B1776" s="9" t="s">
        <v>3614</v>
      </c>
    </row>
    <row r="1777" spans="1:2" x14ac:dyDescent="0.25">
      <c r="A1777" s="9" t="s">
        <v>4755</v>
      </c>
      <c r="B1777" s="9" t="s">
        <v>3615</v>
      </c>
    </row>
    <row r="1778" spans="1:2" x14ac:dyDescent="0.25">
      <c r="A1778" s="9" t="s">
        <v>4754</v>
      </c>
      <c r="B1778" s="9" t="s">
        <v>3616</v>
      </c>
    </row>
    <row r="1779" spans="1:2" x14ac:dyDescent="0.25">
      <c r="A1779" s="9" t="s">
        <v>4753</v>
      </c>
      <c r="B1779" s="9" t="s">
        <v>3617</v>
      </c>
    </row>
    <row r="1780" spans="1:2" x14ac:dyDescent="0.25">
      <c r="A1780" s="9" t="s">
        <v>4752</v>
      </c>
      <c r="B1780" s="9" t="s">
        <v>3618</v>
      </c>
    </row>
    <row r="1781" spans="1:2" x14ac:dyDescent="0.25">
      <c r="A1781" s="9" t="s">
        <v>4751</v>
      </c>
      <c r="B1781" s="9" t="s">
        <v>3619</v>
      </c>
    </row>
    <row r="1782" spans="1:2" x14ac:dyDescent="0.25">
      <c r="A1782" s="9" t="s">
        <v>4750</v>
      </c>
      <c r="B1782" s="9" t="s">
        <v>3620</v>
      </c>
    </row>
    <row r="1783" spans="1:2" x14ac:dyDescent="0.25">
      <c r="A1783" s="9" t="s">
        <v>4749</v>
      </c>
      <c r="B1783" s="9" t="s">
        <v>3621</v>
      </c>
    </row>
    <row r="1784" spans="1:2" x14ac:dyDescent="0.25">
      <c r="A1784" s="9" t="s">
        <v>4748</v>
      </c>
      <c r="B1784" s="9" t="s">
        <v>3622</v>
      </c>
    </row>
    <row r="1785" spans="1:2" x14ac:dyDescent="0.25">
      <c r="A1785" s="9" t="s">
        <v>4747</v>
      </c>
      <c r="B1785" s="9" t="s">
        <v>3623</v>
      </c>
    </row>
    <row r="1786" spans="1:2" x14ac:dyDescent="0.25">
      <c r="A1786" s="9" t="s">
        <v>4746</v>
      </c>
      <c r="B1786" s="9" t="s">
        <v>3624</v>
      </c>
    </row>
    <row r="1787" spans="1:2" x14ac:dyDescent="0.25">
      <c r="A1787" s="9" t="s">
        <v>4745</v>
      </c>
      <c r="B1787" s="9" t="s">
        <v>3625</v>
      </c>
    </row>
    <row r="1788" spans="1:2" x14ac:dyDescent="0.25">
      <c r="A1788" s="9" t="s">
        <v>4744</v>
      </c>
      <c r="B1788" s="9" t="s">
        <v>3626</v>
      </c>
    </row>
    <row r="1789" spans="1:2" x14ac:dyDescent="0.25">
      <c r="A1789" s="9" t="s">
        <v>4743</v>
      </c>
      <c r="B1789" s="9" t="s">
        <v>3627</v>
      </c>
    </row>
    <row r="1790" spans="1:2" x14ac:dyDescent="0.25">
      <c r="A1790" s="9" t="s">
        <v>4742</v>
      </c>
      <c r="B1790" s="9" t="s">
        <v>3628</v>
      </c>
    </row>
    <row r="1791" spans="1:2" x14ac:dyDescent="0.25">
      <c r="A1791" s="9" t="s">
        <v>4741</v>
      </c>
      <c r="B1791" s="9" t="s">
        <v>3629</v>
      </c>
    </row>
    <row r="1792" spans="1:2" x14ac:dyDescent="0.25">
      <c r="A1792" s="9" t="s">
        <v>4740</v>
      </c>
      <c r="B1792" s="9" t="s">
        <v>3630</v>
      </c>
    </row>
    <row r="1793" spans="1:2" x14ac:dyDescent="0.25">
      <c r="A1793" s="9" t="s">
        <v>4739</v>
      </c>
      <c r="B1793" s="9" t="s">
        <v>3631</v>
      </c>
    </row>
    <row r="1794" spans="1:2" x14ac:dyDescent="0.25">
      <c r="A1794" s="9" t="s">
        <v>4738</v>
      </c>
      <c r="B1794" s="9" t="s">
        <v>3632</v>
      </c>
    </row>
    <row r="1795" spans="1:2" x14ac:dyDescent="0.25">
      <c r="A1795" s="9" t="s">
        <v>4737</v>
      </c>
      <c r="B1795" s="9" t="s">
        <v>3633</v>
      </c>
    </row>
    <row r="1796" spans="1:2" x14ac:dyDescent="0.25">
      <c r="A1796" s="9" t="s">
        <v>4736</v>
      </c>
      <c r="B1796" s="9" t="s">
        <v>3634</v>
      </c>
    </row>
    <row r="1797" spans="1:2" x14ac:dyDescent="0.25">
      <c r="A1797" s="9" t="s">
        <v>4735</v>
      </c>
      <c r="B1797" s="9" t="s">
        <v>3635</v>
      </c>
    </row>
    <row r="1798" spans="1:2" x14ac:dyDescent="0.25">
      <c r="A1798" s="9" t="s">
        <v>4734</v>
      </c>
      <c r="B1798" s="9" t="s">
        <v>3636</v>
      </c>
    </row>
    <row r="1799" spans="1:2" x14ac:dyDescent="0.25">
      <c r="A1799" s="9" t="s">
        <v>4733</v>
      </c>
      <c r="B1799" s="9" t="s">
        <v>3637</v>
      </c>
    </row>
    <row r="1800" spans="1:2" x14ac:dyDescent="0.25">
      <c r="A1800" s="9" t="s">
        <v>4732</v>
      </c>
      <c r="B1800" s="9" t="s">
        <v>3638</v>
      </c>
    </row>
    <row r="1801" spans="1:2" x14ac:dyDescent="0.25">
      <c r="A1801" s="9" t="s">
        <v>4731</v>
      </c>
      <c r="B1801" s="9" t="s">
        <v>3639</v>
      </c>
    </row>
    <row r="1802" spans="1:2" x14ac:dyDescent="0.25">
      <c r="A1802" s="9" t="s">
        <v>4730</v>
      </c>
      <c r="B1802" s="9" t="s">
        <v>3640</v>
      </c>
    </row>
    <row r="1803" spans="1:2" x14ac:dyDescent="0.25">
      <c r="A1803" s="9" t="s">
        <v>4729</v>
      </c>
      <c r="B1803" s="9" t="s">
        <v>3641</v>
      </c>
    </row>
    <row r="1804" spans="1:2" x14ac:dyDescent="0.25">
      <c r="A1804" s="9" t="s">
        <v>4728</v>
      </c>
      <c r="B1804" s="9" t="s">
        <v>3642</v>
      </c>
    </row>
    <row r="1805" spans="1:2" x14ac:dyDescent="0.25">
      <c r="A1805" s="9" t="s">
        <v>4727</v>
      </c>
      <c r="B1805" s="9" t="s">
        <v>3643</v>
      </c>
    </row>
    <row r="1806" spans="1:2" x14ac:dyDescent="0.25">
      <c r="A1806" s="9" t="s">
        <v>4726</v>
      </c>
      <c r="B1806" s="9" t="s">
        <v>3644</v>
      </c>
    </row>
    <row r="1807" spans="1:2" x14ac:dyDescent="0.25">
      <c r="A1807" s="9" t="s">
        <v>4725</v>
      </c>
      <c r="B1807" s="9" t="s">
        <v>3645</v>
      </c>
    </row>
    <row r="1808" spans="1:2" x14ac:dyDescent="0.25">
      <c r="A1808" s="9" t="s">
        <v>4724</v>
      </c>
      <c r="B1808" s="9" t="s">
        <v>3646</v>
      </c>
    </row>
    <row r="1809" spans="1:2" x14ac:dyDescent="0.25">
      <c r="A1809" s="9" t="s">
        <v>4723</v>
      </c>
      <c r="B1809" s="9" t="s">
        <v>3647</v>
      </c>
    </row>
    <row r="1810" spans="1:2" x14ac:dyDescent="0.25">
      <c r="A1810" s="9" t="s">
        <v>4722</v>
      </c>
      <c r="B1810" s="9" t="s">
        <v>3648</v>
      </c>
    </row>
    <row r="1811" spans="1:2" x14ac:dyDescent="0.25">
      <c r="A1811" s="9" t="s">
        <v>4721</v>
      </c>
      <c r="B1811" s="9" t="s">
        <v>3649</v>
      </c>
    </row>
    <row r="1812" spans="1:2" x14ac:dyDescent="0.25">
      <c r="A1812" s="9" t="s">
        <v>4720</v>
      </c>
      <c r="B1812" s="9" t="s">
        <v>3650</v>
      </c>
    </row>
    <row r="1813" spans="1:2" x14ac:dyDescent="0.25">
      <c r="A1813" s="9" t="s">
        <v>4719</v>
      </c>
      <c r="B1813" s="9" t="s">
        <v>3651</v>
      </c>
    </row>
    <row r="1814" spans="1:2" x14ac:dyDescent="0.25">
      <c r="A1814" s="9" t="s">
        <v>4718</v>
      </c>
      <c r="B1814" s="9" t="s">
        <v>3652</v>
      </c>
    </row>
    <row r="1815" spans="1:2" x14ac:dyDescent="0.25">
      <c r="A1815" s="9" t="s">
        <v>4717</v>
      </c>
      <c r="B1815" s="9" t="s">
        <v>3653</v>
      </c>
    </row>
    <row r="1816" spans="1:2" x14ac:dyDescent="0.25">
      <c r="A1816" s="9" t="s">
        <v>4716</v>
      </c>
      <c r="B1816" s="9" t="s">
        <v>3654</v>
      </c>
    </row>
    <row r="1817" spans="1:2" x14ac:dyDescent="0.25">
      <c r="A1817" s="9" t="s">
        <v>4715</v>
      </c>
      <c r="B1817" s="9" t="s">
        <v>3655</v>
      </c>
    </row>
    <row r="1818" spans="1:2" x14ac:dyDescent="0.25">
      <c r="A1818" s="9" t="s">
        <v>4714</v>
      </c>
      <c r="B1818" s="9" t="s">
        <v>3656</v>
      </c>
    </row>
    <row r="1819" spans="1:2" x14ac:dyDescent="0.25">
      <c r="A1819" s="9" t="s">
        <v>4713</v>
      </c>
      <c r="B1819" s="9" t="s">
        <v>3657</v>
      </c>
    </row>
    <row r="1820" spans="1:2" x14ac:dyDescent="0.25">
      <c r="A1820" s="9" t="s">
        <v>4712</v>
      </c>
      <c r="B1820" s="9" t="s">
        <v>3658</v>
      </c>
    </row>
    <row r="1821" spans="1:2" x14ac:dyDescent="0.25">
      <c r="A1821" s="9" t="s">
        <v>4711</v>
      </c>
      <c r="B1821" s="9" t="s">
        <v>3659</v>
      </c>
    </row>
    <row r="1822" spans="1:2" x14ac:dyDescent="0.25">
      <c r="A1822" s="9" t="s">
        <v>4710</v>
      </c>
      <c r="B1822" s="9" t="s">
        <v>4709</v>
      </c>
    </row>
    <row r="1823" spans="1:2" x14ac:dyDescent="0.25">
      <c r="A1823" s="9" t="s">
        <v>4708</v>
      </c>
      <c r="B1823" s="9" t="s">
        <v>3660</v>
      </c>
    </row>
    <row r="1824" spans="1:2" x14ac:dyDescent="0.25">
      <c r="A1824" s="9" t="s">
        <v>4707</v>
      </c>
      <c r="B1824" s="9" t="s">
        <v>3661</v>
      </c>
    </row>
    <row r="1825" spans="1:2" x14ac:dyDescent="0.25">
      <c r="A1825" s="9" t="s">
        <v>4706</v>
      </c>
      <c r="B1825" s="9" t="s">
        <v>3662</v>
      </c>
    </row>
    <row r="1826" spans="1:2" x14ac:dyDescent="0.25">
      <c r="A1826" s="9" t="s">
        <v>4705</v>
      </c>
      <c r="B1826" s="9" t="s">
        <v>3663</v>
      </c>
    </row>
    <row r="1827" spans="1:2" x14ac:dyDescent="0.25">
      <c r="A1827" s="9" t="s">
        <v>4704</v>
      </c>
      <c r="B1827" s="9" t="s">
        <v>3</v>
      </c>
    </row>
    <row r="1828" spans="1:2" x14ac:dyDescent="0.25">
      <c r="A1828" s="9" t="s">
        <v>4703</v>
      </c>
      <c r="B1828" s="9" t="s">
        <v>3664</v>
      </c>
    </row>
    <row r="1829" spans="1:2" x14ac:dyDescent="0.25">
      <c r="A1829" s="9" t="s">
        <v>4702</v>
      </c>
      <c r="B1829" s="9" t="s">
        <v>3665</v>
      </c>
    </row>
    <row r="1830" spans="1:2" x14ac:dyDescent="0.25">
      <c r="A1830" s="9" t="s">
        <v>4701</v>
      </c>
      <c r="B1830" s="9" t="s">
        <v>3666</v>
      </c>
    </row>
    <row r="1831" spans="1:2" x14ac:dyDescent="0.25">
      <c r="A1831" s="9" t="s">
        <v>4700</v>
      </c>
      <c r="B1831" s="9" t="s">
        <v>11</v>
      </c>
    </row>
    <row r="1832" spans="1:2" x14ac:dyDescent="0.25">
      <c r="A1832" s="9" t="s">
        <v>4699</v>
      </c>
      <c r="B1832" s="9" t="s">
        <v>3667</v>
      </c>
    </row>
    <row r="1833" spans="1:2" x14ac:dyDescent="0.25">
      <c r="A1833" s="9" t="s">
        <v>4698</v>
      </c>
      <c r="B1833" s="9" t="s">
        <v>3668</v>
      </c>
    </row>
    <row r="1834" spans="1:2" x14ac:dyDescent="0.25">
      <c r="A1834" s="9" t="s">
        <v>4697</v>
      </c>
      <c r="B1834" s="9" t="s">
        <v>3669</v>
      </c>
    </row>
    <row r="1835" spans="1:2" x14ac:dyDescent="0.25">
      <c r="A1835" s="9" t="s">
        <v>4696</v>
      </c>
      <c r="B1835" s="9" t="s">
        <v>3670</v>
      </c>
    </row>
    <row r="1836" spans="1:2" x14ac:dyDescent="0.25">
      <c r="A1836" s="9" t="s">
        <v>4695</v>
      </c>
      <c r="B1836" s="9" t="s">
        <v>3671</v>
      </c>
    </row>
    <row r="1837" spans="1:2" x14ac:dyDescent="0.25">
      <c r="A1837" s="9" t="s">
        <v>4694</v>
      </c>
      <c r="B1837" s="9" t="s">
        <v>3672</v>
      </c>
    </row>
    <row r="1838" spans="1:2" x14ac:dyDescent="0.25">
      <c r="A1838" s="9" t="s">
        <v>4693</v>
      </c>
      <c r="B1838" s="9" t="s">
        <v>3673</v>
      </c>
    </row>
    <row r="1839" spans="1:2" x14ac:dyDescent="0.25">
      <c r="A1839" s="9" t="s">
        <v>4692</v>
      </c>
      <c r="B1839" s="9" t="s">
        <v>3674</v>
      </c>
    </row>
    <row r="1840" spans="1:2" x14ac:dyDescent="0.25">
      <c r="A1840" s="9" t="s">
        <v>4691</v>
      </c>
      <c r="B1840" s="9" t="s">
        <v>3675</v>
      </c>
    </row>
    <row r="1841" spans="1:2" x14ac:dyDescent="0.25">
      <c r="A1841" s="9" t="s">
        <v>4690</v>
      </c>
      <c r="B1841" s="9" t="s">
        <v>3676</v>
      </c>
    </row>
    <row r="1842" spans="1:2" x14ac:dyDescent="0.25">
      <c r="A1842" s="9" t="s">
        <v>4689</v>
      </c>
      <c r="B1842" s="9" t="s">
        <v>3677</v>
      </c>
    </row>
    <row r="1843" spans="1:2" x14ac:dyDescent="0.25">
      <c r="A1843" s="9" t="s">
        <v>4688</v>
      </c>
      <c r="B1843" s="9" t="s">
        <v>3678</v>
      </c>
    </row>
    <row r="1844" spans="1:2" x14ac:dyDescent="0.25">
      <c r="A1844" s="9" t="s">
        <v>4687</v>
      </c>
      <c r="B1844" s="9" t="s">
        <v>4</v>
      </c>
    </row>
    <row r="1845" spans="1:2" x14ac:dyDescent="0.25">
      <c r="A1845" s="9" t="s">
        <v>4686</v>
      </c>
      <c r="B1845" s="9" t="s">
        <v>12</v>
      </c>
    </row>
    <row r="1846" spans="1:2" x14ac:dyDescent="0.25">
      <c r="A1846" s="9" t="s">
        <v>4685</v>
      </c>
      <c r="B1846" s="9" t="s">
        <v>3679</v>
      </c>
    </row>
    <row r="1847" spans="1:2" x14ac:dyDescent="0.25">
      <c r="A1847" s="9" t="s">
        <v>4684</v>
      </c>
      <c r="B1847" s="9" t="s">
        <v>3680</v>
      </c>
    </row>
    <row r="1848" spans="1:2" x14ac:dyDescent="0.25">
      <c r="A1848" s="9" t="s">
        <v>4683</v>
      </c>
      <c r="B1848" s="9" t="s">
        <v>3681</v>
      </c>
    </row>
    <row r="1849" spans="1:2" x14ac:dyDescent="0.25">
      <c r="A1849" s="9" t="s">
        <v>4682</v>
      </c>
      <c r="B1849" s="9" t="s">
        <v>3682</v>
      </c>
    </row>
    <row r="1850" spans="1:2" x14ac:dyDescent="0.25">
      <c r="A1850" s="9" t="s">
        <v>4681</v>
      </c>
      <c r="B1850" s="9" t="s">
        <v>3683</v>
      </c>
    </row>
    <row r="1851" spans="1:2" x14ac:dyDescent="0.25">
      <c r="A1851" s="9" t="s">
        <v>4680</v>
      </c>
      <c r="B1851" s="9" t="s">
        <v>3684</v>
      </c>
    </row>
    <row r="1852" spans="1:2" x14ac:dyDescent="0.25">
      <c r="A1852" s="9" t="s">
        <v>4679</v>
      </c>
      <c r="B1852" s="9" t="s">
        <v>3685</v>
      </c>
    </row>
    <row r="1853" spans="1:2" x14ac:dyDescent="0.25">
      <c r="A1853" s="9" t="s">
        <v>4678</v>
      </c>
      <c r="B1853" s="9" t="s">
        <v>3686</v>
      </c>
    </row>
    <row r="1854" spans="1:2" x14ac:dyDescent="0.25">
      <c r="A1854" s="9" t="s">
        <v>4677</v>
      </c>
      <c r="B1854" s="9" t="s">
        <v>3687</v>
      </c>
    </row>
    <row r="1855" spans="1:2" x14ac:dyDescent="0.25">
      <c r="A1855" s="9" t="s">
        <v>4676</v>
      </c>
      <c r="B1855" s="9" t="s">
        <v>3688</v>
      </c>
    </row>
    <row r="1856" spans="1:2" x14ac:dyDescent="0.25">
      <c r="A1856" s="9" t="s">
        <v>4675</v>
      </c>
      <c r="B1856" s="9" t="s">
        <v>3689</v>
      </c>
    </row>
    <row r="1857" spans="1:2" x14ac:dyDescent="0.25">
      <c r="A1857" s="9" t="s">
        <v>4674</v>
      </c>
      <c r="B1857" s="9" t="s">
        <v>3690</v>
      </c>
    </row>
    <row r="1858" spans="1:2" x14ac:dyDescent="0.25">
      <c r="A1858" s="9" t="s">
        <v>4673</v>
      </c>
      <c r="B1858" s="9" t="s">
        <v>3691</v>
      </c>
    </row>
    <row r="1859" spans="1:2" x14ac:dyDescent="0.25">
      <c r="A1859" s="9" t="s">
        <v>4672</v>
      </c>
      <c r="B1859" s="9" t="s">
        <v>3692</v>
      </c>
    </row>
    <row r="1860" spans="1:2" x14ac:dyDescent="0.25">
      <c r="A1860" s="9" t="s">
        <v>4671</v>
      </c>
      <c r="B1860" s="9" t="s">
        <v>3693</v>
      </c>
    </row>
    <row r="1861" spans="1:2" x14ac:dyDescent="0.25">
      <c r="A1861" s="9" t="s">
        <v>4670</v>
      </c>
      <c r="B1861" s="9" t="s">
        <v>3694</v>
      </c>
    </row>
    <row r="1862" spans="1:2" x14ac:dyDescent="0.25">
      <c r="A1862" s="9" t="s">
        <v>4669</v>
      </c>
      <c r="B1862" s="9" t="s">
        <v>3695</v>
      </c>
    </row>
    <row r="1863" spans="1:2" x14ac:dyDescent="0.25">
      <c r="A1863" s="9" t="s">
        <v>4668</v>
      </c>
      <c r="B1863" s="9" t="s">
        <v>3696</v>
      </c>
    </row>
    <row r="1864" spans="1:2" x14ac:dyDescent="0.25">
      <c r="A1864" s="9" t="s">
        <v>4667</v>
      </c>
      <c r="B1864" s="9" t="s">
        <v>3697</v>
      </c>
    </row>
    <row r="1865" spans="1:2" x14ac:dyDescent="0.25">
      <c r="A1865" s="9" t="s">
        <v>4666</v>
      </c>
      <c r="B1865" s="9" t="s">
        <v>3698</v>
      </c>
    </row>
    <row r="1866" spans="1:2" x14ac:dyDescent="0.25">
      <c r="A1866" s="9" t="s">
        <v>4665</v>
      </c>
      <c r="B1866" s="9" t="s">
        <v>3699</v>
      </c>
    </row>
    <row r="1867" spans="1:2" x14ac:dyDescent="0.25">
      <c r="A1867" s="9" t="s">
        <v>4664</v>
      </c>
      <c r="B1867" s="9" t="s">
        <v>3700</v>
      </c>
    </row>
    <row r="1868" spans="1:2" x14ac:dyDescent="0.25">
      <c r="A1868" s="9" t="s">
        <v>4663</v>
      </c>
      <c r="B1868" s="9" t="s">
        <v>18</v>
      </c>
    </row>
    <row r="1869" spans="1:2" x14ac:dyDescent="0.25">
      <c r="A1869" s="9" t="s">
        <v>4662</v>
      </c>
      <c r="B1869" s="9" t="s">
        <v>3701</v>
      </c>
    </row>
    <row r="1870" spans="1:2" x14ac:dyDescent="0.25">
      <c r="A1870" s="9" t="s">
        <v>4661</v>
      </c>
      <c r="B1870" s="9" t="s">
        <v>3702</v>
      </c>
    </row>
    <row r="1871" spans="1:2" x14ac:dyDescent="0.25">
      <c r="A1871" s="9" t="s">
        <v>4660</v>
      </c>
      <c r="B1871" s="9" t="s">
        <v>3703</v>
      </c>
    </row>
    <row r="1872" spans="1:2" x14ac:dyDescent="0.25">
      <c r="A1872" s="9" t="s">
        <v>4659</v>
      </c>
      <c r="B1872" s="9" t="s">
        <v>3704</v>
      </c>
    </row>
    <row r="1873" spans="1:2" x14ac:dyDescent="0.25">
      <c r="A1873" s="9" t="s">
        <v>4658</v>
      </c>
      <c r="B1873" s="9" t="s">
        <v>3705</v>
      </c>
    </row>
    <row r="1874" spans="1:2" x14ac:dyDescent="0.25">
      <c r="A1874" s="9" t="s">
        <v>4657</v>
      </c>
      <c r="B1874" s="9" t="s">
        <v>3706</v>
      </c>
    </row>
    <row r="1875" spans="1:2" x14ac:dyDescent="0.25">
      <c r="A1875" s="9" t="s">
        <v>4656</v>
      </c>
      <c r="B1875" s="9" t="s">
        <v>3707</v>
      </c>
    </row>
    <row r="1876" spans="1:2" x14ac:dyDescent="0.25">
      <c r="A1876" s="9" t="s">
        <v>4655</v>
      </c>
      <c r="B1876" s="9" t="s">
        <v>3708</v>
      </c>
    </row>
    <row r="1877" spans="1:2" x14ac:dyDescent="0.25">
      <c r="A1877" s="9" t="s">
        <v>4654</v>
      </c>
      <c r="B1877" s="9" t="s">
        <v>3709</v>
      </c>
    </row>
    <row r="1878" spans="1:2" x14ac:dyDescent="0.25">
      <c r="A1878" s="9" t="s">
        <v>4653</v>
      </c>
      <c r="B1878" s="9" t="s">
        <v>3710</v>
      </c>
    </row>
    <row r="1879" spans="1:2" x14ac:dyDescent="0.25">
      <c r="A1879" s="9" t="s">
        <v>4652</v>
      </c>
      <c r="B1879" s="9" t="s">
        <v>3711</v>
      </c>
    </row>
    <row r="1880" spans="1:2" x14ac:dyDescent="0.25">
      <c r="A1880" s="9" t="s">
        <v>4651</v>
      </c>
      <c r="B1880" s="9" t="s">
        <v>3712</v>
      </c>
    </row>
    <row r="1881" spans="1:2" x14ac:dyDescent="0.25">
      <c r="A1881" s="9" t="s">
        <v>4650</v>
      </c>
      <c r="B1881" s="9" t="s">
        <v>3713</v>
      </c>
    </row>
    <row r="1882" spans="1:2" x14ac:dyDescent="0.25">
      <c r="A1882" s="9" t="s">
        <v>4649</v>
      </c>
      <c r="B1882" s="9" t="s">
        <v>3714</v>
      </c>
    </row>
    <row r="1883" spans="1:2" x14ac:dyDescent="0.25">
      <c r="A1883" s="9" t="s">
        <v>4648</v>
      </c>
      <c r="B1883" s="9" t="s">
        <v>3715</v>
      </c>
    </row>
    <row r="1884" spans="1:2" x14ac:dyDescent="0.25">
      <c r="A1884" s="9" t="s">
        <v>4647</v>
      </c>
      <c r="B1884" s="9" t="s">
        <v>3716</v>
      </c>
    </row>
    <row r="1885" spans="1:2" x14ac:dyDescent="0.25">
      <c r="A1885" s="9" t="s">
        <v>4646</v>
      </c>
      <c r="B1885" s="9" t="s">
        <v>3717</v>
      </c>
    </row>
    <row r="1886" spans="1:2" x14ac:dyDescent="0.25">
      <c r="A1886" s="9" t="s">
        <v>4645</v>
      </c>
      <c r="B1886" s="9" t="s">
        <v>3718</v>
      </c>
    </row>
    <row r="1887" spans="1:2" x14ac:dyDescent="0.25">
      <c r="A1887" s="9" t="s">
        <v>4644</v>
      </c>
      <c r="B1887" s="9" t="s">
        <v>3719</v>
      </c>
    </row>
    <row r="1888" spans="1:2" x14ac:dyDescent="0.25">
      <c r="A1888" s="9" t="s">
        <v>4643</v>
      </c>
      <c r="B1888" s="9" t="s">
        <v>3720</v>
      </c>
    </row>
    <row r="1889" spans="1:2" x14ac:dyDescent="0.25">
      <c r="A1889" s="9" t="s">
        <v>4642</v>
      </c>
      <c r="B1889" s="9" t="s">
        <v>3721</v>
      </c>
    </row>
    <row r="1890" spans="1:2" x14ac:dyDescent="0.25">
      <c r="A1890" s="9" t="s">
        <v>4641</v>
      </c>
      <c r="B1890" s="9" t="s">
        <v>3722</v>
      </c>
    </row>
    <row r="1891" spans="1:2" x14ac:dyDescent="0.25">
      <c r="A1891" s="9" t="s">
        <v>4640</v>
      </c>
      <c r="B1891" s="9" t="s">
        <v>3723</v>
      </c>
    </row>
    <row r="1892" spans="1:2" x14ac:dyDescent="0.25">
      <c r="A1892" s="9" t="s">
        <v>4639</v>
      </c>
      <c r="B1892" s="9" t="s">
        <v>3724</v>
      </c>
    </row>
    <row r="1893" spans="1:2" x14ac:dyDescent="0.25">
      <c r="A1893" s="9" t="s">
        <v>4638</v>
      </c>
      <c r="B1893" s="9" t="s">
        <v>3725</v>
      </c>
    </row>
    <row r="1894" spans="1:2" x14ac:dyDescent="0.25">
      <c r="A1894" s="9" t="s">
        <v>4637</v>
      </c>
      <c r="B1894" s="9" t="s">
        <v>3726</v>
      </c>
    </row>
    <row r="1895" spans="1:2" x14ac:dyDescent="0.25">
      <c r="A1895" s="9" t="s">
        <v>4636</v>
      </c>
      <c r="B1895" s="9" t="s">
        <v>3727</v>
      </c>
    </row>
    <row r="1896" spans="1:2" x14ac:dyDescent="0.25">
      <c r="A1896" s="9" t="s">
        <v>4635</v>
      </c>
      <c r="B1896" s="9" t="s">
        <v>4634</v>
      </c>
    </row>
    <row r="1897" spans="1:2" x14ac:dyDescent="0.25">
      <c r="A1897" s="9" t="s">
        <v>4633</v>
      </c>
      <c r="B1897" s="9" t="s">
        <v>3728</v>
      </c>
    </row>
    <row r="1898" spans="1:2" x14ac:dyDescent="0.25">
      <c r="A1898" s="9" t="s">
        <v>4632</v>
      </c>
      <c r="B1898" s="9" t="s">
        <v>3729</v>
      </c>
    </row>
    <row r="1899" spans="1:2" x14ac:dyDescent="0.25">
      <c r="A1899" s="9" t="s">
        <v>4631</v>
      </c>
      <c r="B1899" s="9" t="s">
        <v>3730</v>
      </c>
    </row>
    <row r="1900" spans="1:2" x14ac:dyDescent="0.25">
      <c r="A1900" s="9" t="s">
        <v>4630</v>
      </c>
      <c r="B1900" s="9" t="s">
        <v>3731</v>
      </c>
    </row>
    <row r="1901" spans="1:2" x14ac:dyDescent="0.25">
      <c r="A1901" s="9" t="s">
        <v>4629</v>
      </c>
      <c r="B1901" s="9" t="s">
        <v>3732</v>
      </c>
    </row>
    <row r="1902" spans="1:2" x14ac:dyDescent="0.25">
      <c r="A1902" s="9" t="s">
        <v>4628</v>
      </c>
      <c r="B1902" s="9" t="s">
        <v>3733</v>
      </c>
    </row>
    <row r="1903" spans="1:2" x14ac:dyDescent="0.25">
      <c r="A1903" s="9" t="s">
        <v>4627</v>
      </c>
      <c r="B1903" s="9" t="s">
        <v>3734</v>
      </c>
    </row>
    <row r="1904" spans="1:2" x14ac:dyDescent="0.25">
      <c r="A1904" s="9" t="s">
        <v>4626</v>
      </c>
      <c r="B1904" s="9" t="s">
        <v>3735</v>
      </c>
    </row>
    <row r="1905" spans="1:2" x14ac:dyDescent="0.25">
      <c r="A1905" s="9" t="s">
        <v>4625</v>
      </c>
      <c r="B1905" s="9" t="s">
        <v>3736</v>
      </c>
    </row>
    <row r="1906" spans="1:2" x14ac:dyDescent="0.25">
      <c r="A1906" s="9" t="s">
        <v>4624</v>
      </c>
      <c r="B1906" s="9" t="s">
        <v>3737</v>
      </c>
    </row>
    <row r="1907" spans="1:2" x14ac:dyDescent="0.25">
      <c r="A1907" s="9" t="s">
        <v>4623</v>
      </c>
      <c r="B1907" s="9" t="s">
        <v>3738</v>
      </c>
    </row>
    <row r="1908" spans="1:2" x14ac:dyDescent="0.25">
      <c r="A1908" s="9" t="s">
        <v>4622</v>
      </c>
      <c r="B1908" s="9" t="s">
        <v>3739</v>
      </c>
    </row>
    <row r="1909" spans="1:2" x14ac:dyDescent="0.25">
      <c r="A1909" s="9" t="s">
        <v>4621</v>
      </c>
      <c r="B1909" s="9" t="s">
        <v>3740</v>
      </c>
    </row>
    <row r="1910" spans="1:2" x14ac:dyDescent="0.25">
      <c r="A1910" s="9" t="s">
        <v>4620</v>
      </c>
      <c r="B1910" s="9" t="s">
        <v>3741</v>
      </c>
    </row>
    <row r="1911" spans="1:2" x14ac:dyDescent="0.25">
      <c r="A1911" s="9" t="s">
        <v>4619</v>
      </c>
      <c r="B1911" s="9" t="s">
        <v>3742</v>
      </c>
    </row>
    <row r="1912" spans="1:2" x14ac:dyDescent="0.25">
      <c r="A1912" s="9" t="s">
        <v>4618</v>
      </c>
      <c r="B1912" s="9" t="s">
        <v>3743</v>
      </c>
    </row>
    <row r="1913" spans="1:2" x14ac:dyDescent="0.25">
      <c r="A1913" s="9" t="s">
        <v>4617</v>
      </c>
      <c r="B1913" s="9" t="s">
        <v>3744</v>
      </c>
    </row>
    <row r="1914" spans="1:2" x14ac:dyDescent="0.25">
      <c r="A1914" s="9" t="s">
        <v>4616</v>
      </c>
      <c r="B1914" s="9" t="s">
        <v>3745</v>
      </c>
    </row>
    <row r="1915" spans="1:2" x14ac:dyDescent="0.25">
      <c r="A1915" s="9" t="s">
        <v>4615</v>
      </c>
      <c r="B1915" s="9" t="s">
        <v>3746</v>
      </c>
    </row>
    <row r="1916" spans="1:2" x14ac:dyDescent="0.25">
      <c r="A1916" s="9" t="s">
        <v>4614</v>
      </c>
      <c r="B1916" s="9" t="s">
        <v>3747</v>
      </c>
    </row>
    <row r="1917" spans="1:2" x14ac:dyDescent="0.25">
      <c r="A1917" s="9" t="s">
        <v>4613</v>
      </c>
      <c r="B1917" s="9" t="s">
        <v>3748</v>
      </c>
    </row>
    <row r="1918" spans="1:2" x14ac:dyDescent="0.25">
      <c r="A1918" s="9" t="s">
        <v>4612</v>
      </c>
      <c r="B1918" s="9" t="s">
        <v>3749</v>
      </c>
    </row>
    <row r="1919" spans="1:2" x14ac:dyDescent="0.25">
      <c r="A1919" s="9" t="s">
        <v>4611</v>
      </c>
      <c r="B1919" s="9" t="s">
        <v>3750</v>
      </c>
    </row>
    <row r="1920" spans="1:2" x14ac:dyDescent="0.25">
      <c r="A1920" s="9" t="s">
        <v>4610</v>
      </c>
      <c r="B1920" s="9" t="s">
        <v>3751</v>
      </c>
    </row>
    <row r="1921" spans="1:2" x14ac:dyDescent="0.25">
      <c r="A1921" s="9" t="s">
        <v>4609</v>
      </c>
      <c r="B1921" s="9" t="s">
        <v>3752</v>
      </c>
    </row>
    <row r="1922" spans="1:2" x14ac:dyDescent="0.25">
      <c r="A1922" s="9" t="s">
        <v>4608</v>
      </c>
      <c r="B1922" s="9" t="s">
        <v>3753</v>
      </c>
    </row>
    <row r="1923" spans="1:2" x14ac:dyDescent="0.25">
      <c r="A1923" s="9" t="s">
        <v>4607</v>
      </c>
      <c r="B1923" s="9" t="s">
        <v>3754</v>
      </c>
    </row>
    <row r="1924" spans="1:2" x14ac:dyDescent="0.25">
      <c r="A1924" s="9" t="s">
        <v>4606</v>
      </c>
      <c r="B1924" s="9" t="s">
        <v>3755</v>
      </c>
    </row>
    <row r="1925" spans="1:2" x14ac:dyDescent="0.25">
      <c r="A1925" s="9" t="s">
        <v>4605</v>
      </c>
      <c r="B1925" s="9" t="s">
        <v>3756</v>
      </c>
    </row>
    <row r="1926" spans="1:2" x14ac:dyDescent="0.25">
      <c r="A1926" s="9" t="s">
        <v>4604</v>
      </c>
      <c r="B1926" s="9" t="s">
        <v>3757</v>
      </c>
    </row>
    <row r="1927" spans="1:2" x14ac:dyDescent="0.25">
      <c r="A1927" s="9" t="s">
        <v>4603</v>
      </c>
      <c r="B1927" s="9" t="s">
        <v>3758</v>
      </c>
    </row>
    <row r="1928" spans="1:2" x14ac:dyDescent="0.25">
      <c r="A1928" s="9" t="s">
        <v>4602</v>
      </c>
      <c r="B1928" s="9" t="s">
        <v>3759</v>
      </c>
    </row>
    <row r="1929" spans="1:2" x14ac:dyDescent="0.25">
      <c r="A1929" s="9" t="s">
        <v>4601</v>
      </c>
      <c r="B1929" s="9" t="s">
        <v>3760</v>
      </c>
    </row>
    <row r="1930" spans="1:2" x14ac:dyDescent="0.25">
      <c r="A1930" s="9" t="s">
        <v>4600</v>
      </c>
      <c r="B1930" s="9" t="s">
        <v>3761</v>
      </c>
    </row>
    <row r="1931" spans="1:2" x14ac:dyDescent="0.25">
      <c r="A1931" s="9" t="s">
        <v>4599</v>
      </c>
      <c r="B1931" s="9" t="s">
        <v>3762</v>
      </c>
    </row>
    <row r="1932" spans="1:2" x14ac:dyDescent="0.25">
      <c r="A1932" s="9" t="s">
        <v>4598</v>
      </c>
      <c r="B1932" s="9" t="s">
        <v>3763</v>
      </c>
    </row>
    <row r="1933" spans="1:2" x14ac:dyDescent="0.25">
      <c r="A1933" s="9" t="s">
        <v>4597</v>
      </c>
      <c r="B1933" s="9" t="s">
        <v>3764</v>
      </c>
    </row>
    <row r="1934" spans="1:2" x14ac:dyDescent="0.25">
      <c r="A1934" s="9" t="s">
        <v>4596</v>
      </c>
      <c r="B1934" s="9" t="s">
        <v>3765</v>
      </c>
    </row>
    <row r="1935" spans="1:2" x14ac:dyDescent="0.25">
      <c r="A1935" s="9" t="s">
        <v>4595</v>
      </c>
      <c r="B1935" s="9" t="s">
        <v>3766</v>
      </c>
    </row>
    <row r="1936" spans="1:2" x14ac:dyDescent="0.25">
      <c r="A1936" s="9" t="s">
        <v>4594</v>
      </c>
      <c r="B1936" s="9" t="s">
        <v>3767</v>
      </c>
    </row>
    <row r="1937" spans="1:2" x14ac:dyDescent="0.25">
      <c r="A1937" s="9" t="s">
        <v>4593</v>
      </c>
      <c r="B1937" s="9" t="s">
        <v>3768</v>
      </c>
    </row>
    <row r="1938" spans="1:2" x14ac:dyDescent="0.25">
      <c r="A1938" s="9" t="s">
        <v>4592</v>
      </c>
      <c r="B1938" s="9" t="s">
        <v>3769</v>
      </c>
    </row>
    <row r="1939" spans="1:2" x14ac:dyDescent="0.25">
      <c r="A1939" s="9" t="s">
        <v>4591</v>
      </c>
      <c r="B1939" s="9" t="s">
        <v>3770</v>
      </c>
    </row>
    <row r="1940" spans="1:2" x14ac:dyDescent="0.25">
      <c r="A1940" s="9" t="s">
        <v>4590</v>
      </c>
      <c r="B1940" s="9" t="s">
        <v>3771</v>
      </c>
    </row>
    <row r="1941" spans="1:2" x14ac:dyDescent="0.25">
      <c r="A1941" s="9" t="s">
        <v>4589</v>
      </c>
      <c r="B1941" s="9" t="s">
        <v>3772</v>
      </c>
    </row>
    <row r="1942" spans="1:2" x14ac:dyDescent="0.25">
      <c r="A1942" s="9" t="s">
        <v>4588</v>
      </c>
      <c r="B1942" s="9" t="s">
        <v>3773</v>
      </c>
    </row>
    <row r="1943" spans="1:2" x14ac:dyDescent="0.25">
      <c r="A1943" s="9" t="s">
        <v>4587</v>
      </c>
      <c r="B1943" s="9" t="s">
        <v>3774</v>
      </c>
    </row>
    <row r="1944" spans="1:2" x14ac:dyDescent="0.25">
      <c r="A1944" s="9" t="s">
        <v>4586</v>
      </c>
      <c r="B1944" s="9" t="s">
        <v>3775</v>
      </c>
    </row>
    <row r="1945" spans="1:2" x14ac:dyDescent="0.25">
      <c r="A1945" s="9" t="s">
        <v>4585</v>
      </c>
      <c r="B1945" s="9" t="s">
        <v>3776</v>
      </c>
    </row>
    <row r="1946" spans="1:2" x14ac:dyDescent="0.25">
      <c r="A1946" s="9" t="s">
        <v>4584</v>
      </c>
      <c r="B1946" s="9" t="s">
        <v>3777</v>
      </c>
    </row>
    <row r="1947" spans="1:2" x14ac:dyDescent="0.25">
      <c r="A1947" s="9" t="s">
        <v>4583</v>
      </c>
      <c r="B1947" s="9" t="s">
        <v>3778</v>
      </c>
    </row>
    <row r="1948" spans="1:2" x14ac:dyDescent="0.25">
      <c r="A1948" s="9" t="s">
        <v>4582</v>
      </c>
      <c r="B1948" s="9" t="s">
        <v>3779</v>
      </c>
    </row>
    <row r="1949" spans="1:2" x14ac:dyDescent="0.25">
      <c r="A1949" s="9" t="s">
        <v>4581</v>
      </c>
      <c r="B1949" s="9" t="s">
        <v>3780</v>
      </c>
    </row>
    <row r="1950" spans="1:2" x14ac:dyDescent="0.25">
      <c r="A1950" s="9" t="s">
        <v>4580</v>
      </c>
      <c r="B1950" s="9" t="s">
        <v>3781</v>
      </c>
    </row>
    <row r="1951" spans="1:2" x14ac:dyDescent="0.25">
      <c r="A1951" s="9" t="s">
        <v>4579</v>
      </c>
      <c r="B1951" s="9" t="s">
        <v>3782</v>
      </c>
    </row>
    <row r="1952" spans="1:2" x14ac:dyDescent="0.25">
      <c r="A1952" s="9" t="s">
        <v>4578</v>
      </c>
      <c r="B1952" s="9" t="s">
        <v>3783</v>
      </c>
    </row>
    <row r="1953" spans="1:2" x14ac:dyDescent="0.25">
      <c r="A1953" s="9" t="s">
        <v>4577</v>
      </c>
      <c r="B1953" s="9" t="s">
        <v>3784</v>
      </c>
    </row>
    <row r="1954" spans="1:2" x14ac:dyDescent="0.25">
      <c r="A1954" s="9" t="s">
        <v>4576</v>
      </c>
      <c r="B1954" s="9" t="s">
        <v>3785</v>
      </c>
    </row>
    <row r="1955" spans="1:2" x14ac:dyDescent="0.25">
      <c r="A1955" s="9" t="s">
        <v>4575</v>
      </c>
      <c r="B1955" s="9" t="s">
        <v>3786</v>
      </c>
    </row>
    <row r="1956" spans="1:2" x14ac:dyDescent="0.25">
      <c r="A1956" s="9" t="s">
        <v>4574</v>
      </c>
      <c r="B1956" s="9" t="s">
        <v>3787</v>
      </c>
    </row>
    <row r="1957" spans="1:2" x14ac:dyDescent="0.25">
      <c r="A1957" s="9" t="s">
        <v>4573</v>
      </c>
      <c r="B1957" s="9" t="s">
        <v>3788</v>
      </c>
    </row>
    <row r="1958" spans="1:2" x14ac:dyDescent="0.25">
      <c r="A1958" s="9" t="s">
        <v>4572</v>
      </c>
      <c r="B1958" s="9" t="s">
        <v>3789</v>
      </c>
    </row>
    <row r="1959" spans="1:2" x14ac:dyDescent="0.25">
      <c r="A1959" s="9" t="s">
        <v>4571</v>
      </c>
      <c r="B1959" s="9" t="s">
        <v>3790</v>
      </c>
    </row>
    <row r="1960" spans="1:2" x14ac:dyDescent="0.25">
      <c r="A1960" s="9" t="s">
        <v>4570</v>
      </c>
      <c r="B1960" s="9" t="s">
        <v>3791</v>
      </c>
    </row>
    <row r="1961" spans="1:2" x14ac:dyDescent="0.25">
      <c r="A1961" s="9" t="s">
        <v>4569</v>
      </c>
      <c r="B1961" s="9" t="s">
        <v>3792</v>
      </c>
    </row>
    <row r="1962" spans="1:2" x14ac:dyDescent="0.25">
      <c r="A1962" s="9" t="s">
        <v>4568</v>
      </c>
      <c r="B1962" s="9" t="s">
        <v>3793</v>
      </c>
    </row>
    <row r="1963" spans="1:2" x14ac:dyDescent="0.25">
      <c r="A1963" s="9" t="s">
        <v>4567</v>
      </c>
      <c r="B1963" s="9" t="s">
        <v>3794</v>
      </c>
    </row>
    <row r="1964" spans="1:2" x14ac:dyDescent="0.25">
      <c r="A1964" s="9" t="s">
        <v>4566</v>
      </c>
      <c r="B1964" s="9" t="s">
        <v>3795</v>
      </c>
    </row>
    <row r="1965" spans="1:2" x14ac:dyDescent="0.25">
      <c r="A1965" s="9" t="s">
        <v>4565</v>
      </c>
      <c r="B1965" s="9" t="s">
        <v>3796</v>
      </c>
    </row>
    <row r="1966" spans="1:2" x14ac:dyDescent="0.25">
      <c r="A1966" s="9" t="s">
        <v>4564</v>
      </c>
      <c r="B1966" s="9" t="s">
        <v>3797</v>
      </c>
    </row>
    <row r="1967" spans="1:2" x14ac:dyDescent="0.25">
      <c r="A1967" s="9" t="s">
        <v>4563</v>
      </c>
      <c r="B1967" s="9" t="s">
        <v>3798</v>
      </c>
    </row>
    <row r="1968" spans="1:2" x14ac:dyDescent="0.25">
      <c r="A1968" s="9" t="s">
        <v>4562</v>
      </c>
      <c r="B1968" s="9" t="s">
        <v>3799</v>
      </c>
    </row>
    <row r="1969" spans="1:2" x14ac:dyDescent="0.25">
      <c r="A1969" s="9" t="s">
        <v>4561</v>
      </c>
      <c r="B1969" s="9" t="s">
        <v>3800</v>
      </c>
    </row>
    <row r="1970" spans="1:2" x14ac:dyDescent="0.25">
      <c r="A1970" s="9" t="s">
        <v>4560</v>
      </c>
      <c r="B1970" s="9" t="s">
        <v>3801</v>
      </c>
    </row>
    <row r="1971" spans="1:2" x14ac:dyDescent="0.25">
      <c r="A1971" s="9" t="s">
        <v>4559</v>
      </c>
      <c r="B1971" s="9" t="s">
        <v>3802</v>
      </c>
    </row>
    <row r="1972" spans="1:2" x14ac:dyDescent="0.25">
      <c r="A1972" s="9" t="s">
        <v>4558</v>
      </c>
      <c r="B1972" s="9" t="s">
        <v>3803</v>
      </c>
    </row>
    <row r="1973" spans="1:2" x14ac:dyDescent="0.25">
      <c r="A1973" s="9" t="s">
        <v>4557</v>
      </c>
      <c r="B1973" s="9" t="s">
        <v>3804</v>
      </c>
    </row>
    <row r="1974" spans="1:2" x14ac:dyDescent="0.25">
      <c r="A1974" s="9" t="s">
        <v>4556</v>
      </c>
      <c r="B1974" s="9" t="s">
        <v>3805</v>
      </c>
    </row>
    <row r="1975" spans="1:2" x14ac:dyDescent="0.25">
      <c r="A1975" s="9" t="s">
        <v>4555</v>
      </c>
      <c r="B1975" s="9" t="s">
        <v>3806</v>
      </c>
    </row>
    <row r="1976" spans="1:2" x14ac:dyDescent="0.25">
      <c r="A1976" s="9" t="s">
        <v>4554</v>
      </c>
      <c r="B1976" s="9" t="s">
        <v>3807</v>
      </c>
    </row>
    <row r="1977" spans="1:2" x14ac:dyDescent="0.25">
      <c r="A1977" s="9" t="s">
        <v>4553</v>
      </c>
      <c r="B1977" s="9" t="s">
        <v>3808</v>
      </c>
    </row>
    <row r="1978" spans="1:2" x14ac:dyDescent="0.25">
      <c r="A1978" s="9" t="s">
        <v>4552</v>
      </c>
      <c r="B1978" s="9" t="s">
        <v>3809</v>
      </c>
    </row>
    <row r="1979" spans="1:2" x14ac:dyDescent="0.25">
      <c r="A1979" s="9" t="s">
        <v>4551</v>
      </c>
      <c r="B1979" s="9" t="s">
        <v>3810</v>
      </c>
    </row>
    <row r="1980" spans="1:2" x14ac:dyDescent="0.25">
      <c r="A1980" s="9" t="s">
        <v>4550</v>
      </c>
      <c r="B1980" s="9" t="s">
        <v>3811</v>
      </c>
    </row>
    <row r="1981" spans="1:2" x14ac:dyDescent="0.25">
      <c r="A1981" s="9" t="s">
        <v>4549</v>
      </c>
      <c r="B1981" s="9" t="s">
        <v>3812</v>
      </c>
    </row>
    <row r="1982" spans="1:2" x14ac:dyDescent="0.25">
      <c r="A1982" s="9" t="s">
        <v>4548</v>
      </c>
      <c r="B1982" s="9" t="s">
        <v>3813</v>
      </c>
    </row>
    <row r="1983" spans="1:2" x14ac:dyDescent="0.25">
      <c r="A1983" s="9" t="s">
        <v>4547</v>
      </c>
      <c r="B1983" s="9" t="s">
        <v>3814</v>
      </c>
    </row>
    <row r="1984" spans="1:2" x14ac:dyDescent="0.25">
      <c r="A1984" s="9" t="s">
        <v>4546</v>
      </c>
      <c r="B1984" s="9" t="s">
        <v>3815</v>
      </c>
    </row>
    <row r="1985" spans="1:2" x14ac:dyDescent="0.25">
      <c r="A1985" s="9" t="s">
        <v>4545</v>
      </c>
      <c r="B1985" s="9" t="s">
        <v>3816</v>
      </c>
    </row>
    <row r="1986" spans="1:2" x14ac:dyDescent="0.25">
      <c r="A1986" s="9" t="s">
        <v>4544</v>
      </c>
      <c r="B1986" s="9" t="s">
        <v>3817</v>
      </c>
    </row>
    <row r="1987" spans="1:2" x14ac:dyDescent="0.25">
      <c r="A1987" s="9" t="s">
        <v>4543</v>
      </c>
      <c r="B1987" s="9" t="s">
        <v>3818</v>
      </c>
    </row>
    <row r="1988" spans="1:2" x14ac:dyDescent="0.25">
      <c r="A1988" s="9" t="s">
        <v>4542</v>
      </c>
      <c r="B1988" s="9" t="s">
        <v>3819</v>
      </c>
    </row>
    <row r="1989" spans="1:2" x14ac:dyDescent="0.25">
      <c r="A1989" s="9" t="s">
        <v>4541</v>
      </c>
      <c r="B1989" s="9" t="s">
        <v>3820</v>
      </c>
    </row>
    <row r="1990" spans="1:2" x14ac:dyDescent="0.25">
      <c r="A1990" s="9" t="s">
        <v>4540</v>
      </c>
      <c r="B1990" s="9" t="s">
        <v>3821</v>
      </c>
    </row>
    <row r="1991" spans="1:2" x14ac:dyDescent="0.25">
      <c r="A1991" s="9" t="s">
        <v>4539</v>
      </c>
      <c r="B1991" s="9" t="s">
        <v>3822</v>
      </c>
    </row>
    <row r="1992" spans="1:2" x14ac:dyDescent="0.25">
      <c r="A1992" s="9" t="s">
        <v>4538</v>
      </c>
      <c r="B1992" s="9" t="s">
        <v>3823</v>
      </c>
    </row>
    <row r="1993" spans="1:2" x14ac:dyDescent="0.25">
      <c r="A1993" s="9" t="s">
        <v>4537</v>
      </c>
      <c r="B1993" s="9" t="s">
        <v>3824</v>
      </c>
    </row>
    <row r="1994" spans="1:2" x14ac:dyDescent="0.25">
      <c r="A1994" s="9" t="s">
        <v>4536</v>
      </c>
      <c r="B1994" s="9" t="s">
        <v>3825</v>
      </c>
    </row>
    <row r="1995" spans="1:2" x14ac:dyDescent="0.25">
      <c r="A1995" s="9" t="s">
        <v>4535</v>
      </c>
      <c r="B1995" s="9" t="s">
        <v>3826</v>
      </c>
    </row>
    <row r="1996" spans="1:2" x14ac:dyDescent="0.25">
      <c r="A1996" s="9" t="s">
        <v>4534</v>
      </c>
      <c r="B1996" s="9" t="s">
        <v>3827</v>
      </c>
    </row>
    <row r="1997" spans="1:2" x14ac:dyDescent="0.25">
      <c r="A1997" s="9" t="s">
        <v>4533</v>
      </c>
      <c r="B1997" s="9" t="s">
        <v>3828</v>
      </c>
    </row>
    <row r="1998" spans="1:2" x14ac:dyDescent="0.25">
      <c r="A1998" s="9" t="s">
        <v>4532</v>
      </c>
      <c r="B1998" s="9" t="s">
        <v>3829</v>
      </c>
    </row>
    <row r="1999" spans="1:2" x14ac:dyDescent="0.25">
      <c r="A1999" s="9" t="s">
        <v>4531</v>
      </c>
      <c r="B1999" s="9" t="s">
        <v>3830</v>
      </c>
    </row>
    <row r="2000" spans="1:2" x14ac:dyDescent="0.25">
      <c r="A2000" s="9" t="s">
        <v>4530</v>
      </c>
      <c r="B2000" s="9" t="s">
        <v>3831</v>
      </c>
    </row>
    <row r="2001" spans="1:2" x14ac:dyDescent="0.25">
      <c r="A2001" s="9" t="s">
        <v>4529</v>
      </c>
      <c r="B2001" s="9" t="s">
        <v>3832</v>
      </c>
    </row>
    <row r="2002" spans="1:2" x14ac:dyDescent="0.25">
      <c r="A2002" s="9" t="s">
        <v>4528</v>
      </c>
      <c r="B2002" s="9" t="s">
        <v>3833</v>
      </c>
    </row>
    <row r="2003" spans="1:2" x14ac:dyDescent="0.25">
      <c r="A2003" s="9" t="s">
        <v>4527</v>
      </c>
      <c r="B2003" s="9" t="s">
        <v>3834</v>
      </c>
    </row>
    <row r="2004" spans="1:2" x14ac:dyDescent="0.25">
      <c r="A2004" s="9" t="s">
        <v>4526</v>
      </c>
      <c r="B2004" s="9" t="s">
        <v>3835</v>
      </c>
    </row>
    <row r="2005" spans="1:2" x14ac:dyDescent="0.25">
      <c r="A2005" s="9" t="s">
        <v>4525</v>
      </c>
      <c r="B2005" s="9" t="s">
        <v>3836</v>
      </c>
    </row>
    <row r="2006" spans="1:2" x14ac:dyDescent="0.25">
      <c r="A2006" s="9" t="s">
        <v>4524</v>
      </c>
      <c r="B2006" s="9" t="s">
        <v>3837</v>
      </c>
    </row>
    <row r="2007" spans="1:2" x14ac:dyDescent="0.25">
      <c r="A2007" s="9" t="s">
        <v>4523</v>
      </c>
      <c r="B2007" s="9" t="s">
        <v>3838</v>
      </c>
    </row>
    <row r="2008" spans="1:2" x14ac:dyDescent="0.25">
      <c r="A2008" s="9" t="s">
        <v>4522</v>
      </c>
      <c r="B2008" s="9" t="s">
        <v>3839</v>
      </c>
    </row>
    <row r="2009" spans="1:2" x14ac:dyDescent="0.25">
      <c r="A2009" s="9" t="s">
        <v>4521</v>
      </c>
      <c r="B2009" s="9" t="s">
        <v>3840</v>
      </c>
    </row>
    <row r="2010" spans="1:2" x14ac:dyDescent="0.25">
      <c r="A2010" s="9" t="s">
        <v>4520</v>
      </c>
      <c r="B2010" s="9" t="s">
        <v>3841</v>
      </c>
    </row>
    <row r="2011" spans="1:2" x14ac:dyDescent="0.25">
      <c r="A2011" s="9" t="s">
        <v>4519</v>
      </c>
      <c r="B2011" s="9" t="s">
        <v>3842</v>
      </c>
    </row>
    <row r="2012" spans="1:2" x14ac:dyDescent="0.25">
      <c r="A2012" s="9" t="s">
        <v>4518</v>
      </c>
      <c r="B2012" s="9" t="s">
        <v>3843</v>
      </c>
    </row>
    <row r="2013" spans="1:2" x14ac:dyDescent="0.25">
      <c r="A2013" s="9" t="s">
        <v>4517</v>
      </c>
      <c r="B2013" s="9" t="s">
        <v>3844</v>
      </c>
    </row>
    <row r="2014" spans="1:2" x14ac:dyDescent="0.25">
      <c r="A2014" s="9" t="s">
        <v>4516</v>
      </c>
      <c r="B2014" s="9" t="s">
        <v>3845</v>
      </c>
    </row>
    <row r="2015" spans="1:2" x14ac:dyDescent="0.25">
      <c r="A2015" s="9" t="s">
        <v>4515</v>
      </c>
      <c r="B2015" s="9" t="s">
        <v>3846</v>
      </c>
    </row>
    <row r="2016" spans="1:2" x14ac:dyDescent="0.25">
      <c r="A2016" s="9" t="s">
        <v>4514</v>
      </c>
      <c r="B2016" s="9" t="s">
        <v>3847</v>
      </c>
    </row>
    <row r="2017" spans="1:2" x14ac:dyDescent="0.25">
      <c r="A2017" s="9" t="s">
        <v>4513</v>
      </c>
      <c r="B2017" s="9" t="s">
        <v>3848</v>
      </c>
    </row>
    <row r="2018" spans="1:2" x14ac:dyDescent="0.25">
      <c r="A2018" s="9" t="s">
        <v>4512</v>
      </c>
      <c r="B2018" s="9" t="s">
        <v>3849</v>
      </c>
    </row>
    <row r="2019" spans="1:2" x14ac:dyDescent="0.25">
      <c r="A2019" s="9" t="s">
        <v>4511</v>
      </c>
      <c r="B2019" s="9" t="s">
        <v>3850</v>
      </c>
    </row>
    <row r="2020" spans="1:2" x14ac:dyDescent="0.25">
      <c r="A2020" s="9" t="s">
        <v>4510</v>
      </c>
      <c r="B2020" s="9" t="s">
        <v>3851</v>
      </c>
    </row>
    <row r="2021" spans="1:2" x14ac:dyDescent="0.25">
      <c r="A2021" s="9" t="s">
        <v>4509</v>
      </c>
      <c r="B2021" s="9" t="s">
        <v>3852</v>
      </c>
    </row>
    <row r="2022" spans="1:2" x14ac:dyDescent="0.25">
      <c r="A2022" s="9" t="s">
        <v>4508</v>
      </c>
      <c r="B2022" s="9" t="s">
        <v>3853</v>
      </c>
    </row>
    <row r="2023" spans="1:2" x14ac:dyDescent="0.25">
      <c r="A2023" s="9" t="s">
        <v>4507</v>
      </c>
      <c r="B2023" s="9" t="s">
        <v>3854</v>
      </c>
    </row>
    <row r="2024" spans="1:2" x14ac:dyDescent="0.25">
      <c r="A2024" s="9" t="s">
        <v>4506</v>
      </c>
      <c r="B2024" s="9" t="s">
        <v>3855</v>
      </c>
    </row>
    <row r="2025" spans="1:2" x14ac:dyDescent="0.25">
      <c r="A2025" s="9" t="s">
        <v>4505</v>
      </c>
      <c r="B2025" s="9" t="s">
        <v>3856</v>
      </c>
    </row>
    <row r="2026" spans="1:2" x14ac:dyDescent="0.25">
      <c r="A2026" s="9" t="s">
        <v>4504</v>
      </c>
      <c r="B2026" s="9" t="s">
        <v>3857</v>
      </c>
    </row>
    <row r="2027" spans="1:2" x14ac:dyDescent="0.25">
      <c r="A2027" s="9" t="s">
        <v>4503</v>
      </c>
      <c r="B2027" s="9" t="s">
        <v>3858</v>
      </c>
    </row>
    <row r="2028" spans="1:2" x14ac:dyDescent="0.25">
      <c r="A2028" s="9" t="s">
        <v>4502</v>
      </c>
      <c r="B2028" s="9" t="s">
        <v>3859</v>
      </c>
    </row>
    <row r="2029" spans="1:2" x14ac:dyDescent="0.25">
      <c r="A2029" s="9" t="s">
        <v>4501</v>
      </c>
      <c r="B2029" s="9" t="s">
        <v>3860</v>
      </c>
    </row>
    <row r="2030" spans="1:2" x14ac:dyDescent="0.25">
      <c r="A2030" s="9" t="s">
        <v>4500</v>
      </c>
      <c r="B2030" s="9" t="s">
        <v>3861</v>
      </c>
    </row>
    <row r="2031" spans="1:2" x14ac:dyDescent="0.25">
      <c r="A2031" s="9" t="s">
        <v>4499</v>
      </c>
      <c r="B2031" s="9" t="s">
        <v>3862</v>
      </c>
    </row>
    <row r="2032" spans="1:2" x14ac:dyDescent="0.25">
      <c r="A2032" s="9" t="s">
        <v>4498</v>
      </c>
      <c r="B2032" s="9" t="s">
        <v>3863</v>
      </c>
    </row>
    <row r="2033" spans="1:2" x14ac:dyDescent="0.25">
      <c r="A2033" s="9" t="s">
        <v>4497</v>
      </c>
      <c r="B2033" s="9" t="s">
        <v>3864</v>
      </c>
    </row>
    <row r="2034" spans="1:2" x14ac:dyDescent="0.25">
      <c r="A2034" s="9" t="s">
        <v>4496</v>
      </c>
      <c r="B2034" s="9" t="s">
        <v>16</v>
      </c>
    </row>
    <row r="2035" spans="1:2" x14ac:dyDescent="0.25">
      <c r="A2035" s="9" t="s">
        <v>4495</v>
      </c>
      <c r="B2035" s="9" t="s">
        <v>3865</v>
      </c>
    </row>
    <row r="2036" spans="1:2" x14ac:dyDescent="0.25">
      <c r="A2036" s="9" t="s">
        <v>4494</v>
      </c>
      <c r="B2036" s="9" t="s">
        <v>17</v>
      </c>
    </row>
    <row r="2037" spans="1:2" x14ac:dyDescent="0.25">
      <c r="A2037" s="9" t="s">
        <v>4493</v>
      </c>
      <c r="B2037" s="9" t="s">
        <v>3866</v>
      </c>
    </row>
    <row r="2038" spans="1:2" x14ac:dyDescent="0.25">
      <c r="A2038" s="9" t="s">
        <v>4492</v>
      </c>
      <c r="B2038" s="9" t="s">
        <v>3867</v>
      </c>
    </row>
    <row r="2039" spans="1:2" x14ac:dyDescent="0.25">
      <c r="A2039" s="9" t="s">
        <v>4491</v>
      </c>
      <c r="B2039" s="9" t="s">
        <v>3868</v>
      </c>
    </row>
    <row r="2040" spans="1:2" x14ac:dyDescent="0.25">
      <c r="A2040" s="9" t="s">
        <v>4490</v>
      </c>
      <c r="B2040" s="9" t="s">
        <v>4489</v>
      </c>
    </row>
    <row r="2041" spans="1:2" x14ac:dyDescent="0.25">
      <c r="A2041" s="9" t="s">
        <v>4488</v>
      </c>
      <c r="B2041" s="9" t="s">
        <v>4487</v>
      </c>
    </row>
    <row r="2042" spans="1:2" x14ac:dyDescent="0.25">
      <c r="A2042" s="9" t="s">
        <v>4486</v>
      </c>
      <c r="B2042" s="9" t="s">
        <v>3869</v>
      </c>
    </row>
    <row r="2043" spans="1:2" x14ac:dyDescent="0.25">
      <c r="A2043" s="9" t="s">
        <v>4485</v>
      </c>
      <c r="B2043" s="9" t="s">
        <v>3870</v>
      </c>
    </row>
    <row r="2044" spans="1:2" x14ac:dyDescent="0.25">
      <c r="A2044" s="9" t="s">
        <v>4484</v>
      </c>
      <c r="B2044" s="9" t="s">
        <v>3871</v>
      </c>
    </row>
    <row r="2045" spans="1:2" x14ac:dyDescent="0.25">
      <c r="A2045" s="9" t="s">
        <v>4483</v>
      </c>
      <c r="B2045" s="9" t="s">
        <v>3872</v>
      </c>
    </row>
    <row r="2046" spans="1:2" x14ac:dyDescent="0.25">
      <c r="A2046" s="9" t="s">
        <v>4482</v>
      </c>
      <c r="B2046" s="9" t="s">
        <v>3873</v>
      </c>
    </row>
    <row r="2047" spans="1:2" x14ac:dyDescent="0.25">
      <c r="A2047" s="9" t="s">
        <v>4481</v>
      </c>
      <c r="B2047" s="9" t="s">
        <v>3874</v>
      </c>
    </row>
    <row r="2048" spans="1:2" x14ac:dyDescent="0.25">
      <c r="A2048" s="9" t="s">
        <v>4480</v>
      </c>
      <c r="B2048" s="9" t="s">
        <v>3875</v>
      </c>
    </row>
    <row r="2049" spans="1:2" x14ac:dyDescent="0.25">
      <c r="A2049" s="9" t="s">
        <v>4479</v>
      </c>
      <c r="B2049" s="9" t="s">
        <v>3876</v>
      </c>
    </row>
    <row r="2050" spans="1:2" x14ac:dyDescent="0.25">
      <c r="A2050" s="9" t="s">
        <v>4478</v>
      </c>
      <c r="B2050" s="9" t="s">
        <v>3877</v>
      </c>
    </row>
    <row r="2051" spans="1:2" x14ac:dyDescent="0.25">
      <c r="A2051" s="9" t="s">
        <v>4477</v>
      </c>
      <c r="B2051" s="9" t="s">
        <v>3878</v>
      </c>
    </row>
    <row r="2052" spans="1:2" x14ac:dyDescent="0.25">
      <c r="A2052" s="9" t="s">
        <v>4476</v>
      </c>
      <c r="B2052" s="9" t="s">
        <v>3879</v>
      </c>
    </row>
    <row r="2053" spans="1:2" x14ac:dyDescent="0.25">
      <c r="A2053" s="9" t="s">
        <v>4475</v>
      </c>
      <c r="B2053" s="9" t="s">
        <v>3880</v>
      </c>
    </row>
    <row r="2054" spans="1:2" x14ac:dyDescent="0.25">
      <c r="A2054" s="9" t="s">
        <v>4474</v>
      </c>
      <c r="B2054" s="9" t="s">
        <v>3881</v>
      </c>
    </row>
    <row r="2055" spans="1:2" x14ac:dyDescent="0.25">
      <c r="A2055" s="9" t="s">
        <v>4473</v>
      </c>
      <c r="B2055" s="9" t="s">
        <v>3882</v>
      </c>
    </row>
    <row r="2056" spans="1:2" x14ac:dyDescent="0.25">
      <c r="A2056" s="9" t="s">
        <v>4472</v>
      </c>
      <c r="B2056" s="9" t="s">
        <v>3883</v>
      </c>
    </row>
    <row r="2057" spans="1:2" x14ac:dyDescent="0.25">
      <c r="A2057" s="9" t="s">
        <v>4471</v>
      </c>
      <c r="B2057" s="9" t="s">
        <v>3884</v>
      </c>
    </row>
    <row r="2058" spans="1:2" x14ac:dyDescent="0.25">
      <c r="A2058" s="9" t="s">
        <v>4470</v>
      </c>
      <c r="B2058" s="9" t="s">
        <v>3885</v>
      </c>
    </row>
    <row r="2059" spans="1:2" x14ac:dyDescent="0.25">
      <c r="A2059" s="9" t="s">
        <v>4469</v>
      </c>
      <c r="B2059" s="9" t="s">
        <v>3886</v>
      </c>
    </row>
    <row r="2060" spans="1:2" x14ac:dyDescent="0.25">
      <c r="A2060" s="9" t="s">
        <v>4468</v>
      </c>
      <c r="B2060" s="9" t="s">
        <v>3887</v>
      </c>
    </row>
    <row r="2061" spans="1:2" x14ac:dyDescent="0.25">
      <c r="A2061" s="9" t="s">
        <v>4467</v>
      </c>
      <c r="B2061" s="9" t="s">
        <v>3888</v>
      </c>
    </row>
    <row r="2062" spans="1:2" x14ac:dyDescent="0.25">
      <c r="A2062" s="9" t="s">
        <v>4466</v>
      </c>
      <c r="B2062" s="9" t="s">
        <v>3889</v>
      </c>
    </row>
    <row r="2063" spans="1:2" x14ac:dyDescent="0.25">
      <c r="A2063" s="9" t="s">
        <v>4465</v>
      </c>
      <c r="B2063" s="9" t="s">
        <v>3890</v>
      </c>
    </row>
    <row r="2064" spans="1:2" x14ac:dyDescent="0.25">
      <c r="A2064" s="9" t="s">
        <v>4464</v>
      </c>
      <c r="B2064" s="9" t="s">
        <v>3891</v>
      </c>
    </row>
    <row r="2065" spans="1:2" x14ac:dyDescent="0.25">
      <c r="A2065" s="9" t="s">
        <v>4463</v>
      </c>
      <c r="B2065" s="9" t="s">
        <v>3892</v>
      </c>
    </row>
    <row r="2066" spans="1:2" x14ac:dyDescent="0.25">
      <c r="A2066" s="9" t="s">
        <v>4462</v>
      </c>
      <c r="B2066" s="9" t="s">
        <v>3893</v>
      </c>
    </row>
    <row r="2067" spans="1:2" x14ac:dyDescent="0.25">
      <c r="A2067" s="9" t="s">
        <v>4461</v>
      </c>
      <c r="B2067" s="9" t="s">
        <v>3894</v>
      </c>
    </row>
    <row r="2068" spans="1:2" x14ac:dyDescent="0.25">
      <c r="A2068" s="9" t="s">
        <v>4460</v>
      </c>
      <c r="B2068" s="9" t="s">
        <v>3895</v>
      </c>
    </row>
    <row r="2069" spans="1:2" x14ac:dyDescent="0.25">
      <c r="A2069" s="9" t="s">
        <v>4459</v>
      </c>
      <c r="B2069" s="9" t="s">
        <v>3896</v>
      </c>
    </row>
    <row r="2070" spans="1:2" x14ac:dyDescent="0.25">
      <c r="A2070" s="9" t="s">
        <v>4458</v>
      </c>
      <c r="B2070" s="9" t="s">
        <v>3897</v>
      </c>
    </row>
    <row r="2071" spans="1:2" x14ac:dyDescent="0.25">
      <c r="A2071" s="9" t="s">
        <v>4457</v>
      </c>
      <c r="B2071" s="9" t="s">
        <v>3898</v>
      </c>
    </row>
    <row r="2072" spans="1:2" x14ac:dyDescent="0.25">
      <c r="A2072" s="9" t="s">
        <v>4456</v>
      </c>
      <c r="B2072" s="9" t="s">
        <v>3899</v>
      </c>
    </row>
    <row r="2073" spans="1:2" x14ac:dyDescent="0.25">
      <c r="A2073" s="9" t="s">
        <v>4455</v>
      </c>
      <c r="B2073" s="9" t="s">
        <v>3900</v>
      </c>
    </row>
    <row r="2074" spans="1:2" x14ac:dyDescent="0.25">
      <c r="A2074" s="9" t="s">
        <v>4454</v>
      </c>
      <c r="B2074" s="9" t="s">
        <v>3901</v>
      </c>
    </row>
    <row r="2075" spans="1:2" x14ac:dyDescent="0.25">
      <c r="A2075" s="9" t="s">
        <v>4453</v>
      </c>
      <c r="B2075" s="9" t="s">
        <v>3902</v>
      </c>
    </row>
    <row r="2076" spans="1:2" x14ac:dyDescent="0.25">
      <c r="A2076" s="9" t="s">
        <v>4452</v>
      </c>
      <c r="B2076" s="9" t="s">
        <v>3903</v>
      </c>
    </row>
    <row r="2077" spans="1:2" x14ac:dyDescent="0.25">
      <c r="A2077" s="9" t="s">
        <v>4451</v>
      </c>
      <c r="B2077" s="9" t="s">
        <v>3904</v>
      </c>
    </row>
    <row r="2078" spans="1:2" x14ac:dyDescent="0.25">
      <c r="A2078" s="9" t="s">
        <v>4450</v>
      </c>
      <c r="B2078" s="9" t="s">
        <v>3905</v>
      </c>
    </row>
    <row r="2079" spans="1:2" x14ac:dyDescent="0.25">
      <c r="A2079" s="9" t="s">
        <v>4449</v>
      </c>
      <c r="B2079" s="9" t="s">
        <v>3906</v>
      </c>
    </row>
    <row r="2080" spans="1:2" x14ac:dyDescent="0.25">
      <c r="A2080" s="9" t="s">
        <v>4448</v>
      </c>
      <c r="B2080" s="9" t="s">
        <v>3907</v>
      </c>
    </row>
    <row r="2081" spans="1:2" x14ac:dyDescent="0.25">
      <c r="A2081" s="9" t="s">
        <v>4447</v>
      </c>
      <c r="B2081" s="9" t="s">
        <v>3908</v>
      </c>
    </row>
    <row r="2082" spans="1:2" x14ac:dyDescent="0.25">
      <c r="A2082" s="9" t="s">
        <v>4446</v>
      </c>
      <c r="B2082" s="9" t="s">
        <v>3909</v>
      </c>
    </row>
    <row r="2083" spans="1:2" x14ac:dyDescent="0.25">
      <c r="A2083" s="9" t="s">
        <v>4445</v>
      </c>
      <c r="B2083" s="9" t="s">
        <v>3910</v>
      </c>
    </row>
    <row r="2084" spans="1:2" x14ac:dyDescent="0.25">
      <c r="A2084" s="9" t="s">
        <v>4444</v>
      </c>
      <c r="B2084" s="9" t="s">
        <v>3911</v>
      </c>
    </row>
    <row r="2085" spans="1:2" x14ac:dyDescent="0.25">
      <c r="A2085" s="9" t="s">
        <v>4443</v>
      </c>
      <c r="B2085" s="9" t="s">
        <v>3912</v>
      </c>
    </row>
    <row r="2086" spans="1:2" x14ac:dyDescent="0.25">
      <c r="A2086" s="9" t="s">
        <v>4442</v>
      </c>
      <c r="B2086" s="9" t="s">
        <v>3913</v>
      </c>
    </row>
    <row r="2087" spans="1:2" x14ac:dyDescent="0.25">
      <c r="A2087" s="9" t="s">
        <v>4441</v>
      </c>
      <c r="B2087" s="9" t="s">
        <v>3914</v>
      </c>
    </row>
    <row r="2088" spans="1:2" x14ac:dyDescent="0.25">
      <c r="A2088" s="9" t="s">
        <v>4440</v>
      </c>
      <c r="B2088" s="9" t="s">
        <v>3915</v>
      </c>
    </row>
    <row r="2089" spans="1:2" x14ac:dyDescent="0.25">
      <c r="A2089" s="9" t="s">
        <v>4439</v>
      </c>
      <c r="B2089" s="9" t="s">
        <v>3916</v>
      </c>
    </row>
    <row r="2090" spans="1:2" x14ac:dyDescent="0.25">
      <c r="A2090" s="9" t="s">
        <v>4438</v>
      </c>
      <c r="B2090" s="9" t="s">
        <v>3917</v>
      </c>
    </row>
    <row r="2091" spans="1:2" x14ac:dyDescent="0.25">
      <c r="A2091" s="9" t="s">
        <v>4437</v>
      </c>
      <c r="B2091" s="9" t="s">
        <v>3918</v>
      </c>
    </row>
    <row r="2092" spans="1:2" x14ac:dyDescent="0.25">
      <c r="A2092" s="9" t="s">
        <v>4436</v>
      </c>
      <c r="B2092" s="9" t="s">
        <v>3919</v>
      </c>
    </row>
    <row r="2093" spans="1:2" x14ac:dyDescent="0.25">
      <c r="A2093" s="9" t="s">
        <v>4435</v>
      </c>
      <c r="B2093" s="9" t="s">
        <v>3920</v>
      </c>
    </row>
    <row r="2094" spans="1:2" x14ac:dyDescent="0.25">
      <c r="A2094" s="9" t="s">
        <v>4434</v>
      </c>
      <c r="B2094" s="9" t="s">
        <v>3921</v>
      </c>
    </row>
    <row r="2095" spans="1:2" x14ac:dyDescent="0.25">
      <c r="A2095" s="9" t="s">
        <v>4433</v>
      </c>
      <c r="B2095" s="9" t="s">
        <v>3922</v>
      </c>
    </row>
    <row r="2096" spans="1:2" x14ac:dyDescent="0.25">
      <c r="A2096" s="9" t="s">
        <v>4432</v>
      </c>
      <c r="B2096" s="9" t="s">
        <v>3923</v>
      </c>
    </row>
    <row r="2097" spans="1:2" x14ac:dyDescent="0.25">
      <c r="A2097" s="9" t="s">
        <v>4431</v>
      </c>
      <c r="B2097" s="9" t="s">
        <v>3924</v>
      </c>
    </row>
    <row r="2098" spans="1:2" x14ac:dyDescent="0.25">
      <c r="A2098" s="9" t="s">
        <v>4430</v>
      </c>
      <c r="B2098" s="9" t="s">
        <v>3925</v>
      </c>
    </row>
    <row r="2099" spans="1:2" x14ac:dyDescent="0.25">
      <c r="A2099" s="9" t="s">
        <v>4429</v>
      </c>
      <c r="B2099" s="9" t="s">
        <v>3926</v>
      </c>
    </row>
    <row r="2100" spans="1:2" x14ac:dyDescent="0.25">
      <c r="A2100" s="9" t="s">
        <v>4428</v>
      </c>
      <c r="B2100" s="9" t="s">
        <v>3927</v>
      </c>
    </row>
    <row r="2101" spans="1:2" x14ac:dyDescent="0.25">
      <c r="A2101" s="9" t="s">
        <v>4427</v>
      </c>
      <c r="B2101" s="9" t="s">
        <v>3928</v>
      </c>
    </row>
    <row r="2102" spans="1:2" x14ac:dyDescent="0.25">
      <c r="A2102" s="9" t="s">
        <v>4426</v>
      </c>
      <c r="B2102" s="9" t="s">
        <v>3929</v>
      </c>
    </row>
    <row r="2103" spans="1:2" x14ac:dyDescent="0.25">
      <c r="A2103" s="9" t="s">
        <v>4425</v>
      </c>
      <c r="B2103" s="9" t="s">
        <v>3930</v>
      </c>
    </row>
    <row r="2104" spans="1:2" x14ac:dyDescent="0.25">
      <c r="A2104" s="9" t="s">
        <v>4424</v>
      </c>
      <c r="B2104" s="9" t="s">
        <v>3931</v>
      </c>
    </row>
    <row r="2105" spans="1:2" x14ac:dyDescent="0.25">
      <c r="A2105" s="9" t="s">
        <v>4423</v>
      </c>
      <c r="B2105" s="9" t="s">
        <v>3932</v>
      </c>
    </row>
    <row r="2106" spans="1:2" x14ac:dyDescent="0.25">
      <c r="A2106" s="9" t="s">
        <v>4422</v>
      </c>
      <c r="B2106" s="9" t="s">
        <v>3933</v>
      </c>
    </row>
    <row r="2107" spans="1:2" x14ac:dyDescent="0.25">
      <c r="A2107" s="9" t="s">
        <v>4421</v>
      </c>
      <c r="B2107" s="9" t="s">
        <v>3934</v>
      </c>
    </row>
    <row r="2108" spans="1:2" x14ac:dyDescent="0.25">
      <c r="A2108" s="9" t="s">
        <v>4420</v>
      </c>
      <c r="B2108" s="9" t="s">
        <v>4419</v>
      </c>
    </row>
    <row r="2109" spans="1:2" x14ac:dyDescent="0.25">
      <c r="A2109" s="9" t="s">
        <v>4418</v>
      </c>
      <c r="B2109" s="9" t="s">
        <v>3935</v>
      </c>
    </row>
    <row r="2110" spans="1:2" x14ac:dyDescent="0.25">
      <c r="A2110" s="9" t="s">
        <v>4417</v>
      </c>
      <c r="B2110" s="9" t="s">
        <v>4416</v>
      </c>
    </row>
    <row r="2111" spans="1:2" x14ac:dyDescent="0.25">
      <c r="A2111" s="9" t="s">
        <v>4415</v>
      </c>
      <c r="B2111" s="9" t="s">
        <v>4414</v>
      </c>
    </row>
    <row r="2112" spans="1:2" x14ac:dyDescent="0.25">
      <c r="A2112" s="9" t="s">
        <v>4413</v>
      </c>
      <c r="B2112" s="9" t="s">
        <v>3936</v>
      </c>
    </row>
    <row r="2113" spans="1:2" x14ac:dyDescent="0.25">
      <c r="A2113" s="9" t="s">
        <v>4412</v>
      </c>
      <c r="B2113" s="9" t="s">
        <v>3937</v>
      </c>
    </row>
    <row r="2114" spans="1:2" x14ac:dyDescent="0.25">
      <c r="A2114" s="9" t="s">
        <v>4411</v>
      </c>
      <c r="B2114" s="9" t="s">
        <v>4410</v>
      </c>
    </row>
    <row r="2115" spans="1:2" x14ac:dyDescent="0.25">
      <c r="A2115" s="9" t="s">
        <v>4409</v>
      </c>
      <c r="B2115" s="9" t="s">
        <v>3938</v>
      </c>
    </row>
    <row r="2116" spans="1:2" x14ac:dyDescent="0.25">
      <c r="A2116" s="9" t="s">
        <v>4408</v>
      </c>
      <c r="B2116" s="9" t="s">
        <v>4407</v>
      </c>
    </row>
    <row r="2117" spans="1:2" x14ac:dyDescent="0.25">
      <c r="A2117" s="9" t="s">
        <v>4406</v>
      </c>
      <c r="B2117" s="9" t="s">
        <v>4405</v>
      </c>
    </row>
    <row r="2118" spans="1:2" x14ac:dyDescent="0.25">
      <c r="A2118" s="9" t="s">
        <v>4404</v>
      </c>
      <c r="B2118" s="9" t="s">
        <v>4403</v>
      </c>
    </row>
    <row r="2119" spans="1:2" x14ac:dyDescent="0.25">
      <c r="A2119" s="9" t="s">
        <v>4402</v>
      </c>
      <c r="B2119" s="9" t="s">
        <v>4401</v>
      </c>
    </row>
    <row r="2120" spans="1:2" x14ac:dyDescent="0.25">
      <c r="A2120" s="9" t="s">
        <v>4400</v>
      </c>
      <c r="B2120" s="9" t="s">
        <v>4399</v>
      </c>
    </row>
    <row r="2121" spans="1:2" x14ac:dyDescent="0.25">
      <c r="A2121" s="9" t="s">
        <v>4398</v>
      </c>
      <c r="B2121" s="9" t="s">
        <v>4397</v>
      </c>
    </row>
    <row r="2122" spans="1:2" x14ac:dyDescent="0.25">
      <c r="A2122" s="9" t="s">
        <v>4396</v>
      </c>
      <c r="B2122" s="9" t="s">
        <v>4395</v>
      </c>
    </row>
    <row r="2123" spans="1:2" x14ac:dyDescent="0.25">
      <c r="A2123" s="9" t="s">
        <v>4394</v>
      </c>
      <c r="B2123" s="9" t="s">
        <v>4393</v>
      </c>
    </row>
    <row r="2124" spans="1:2" x14ac:dyDescent="0.25">
      <c r="A2124" s="9" t="s">
        <v>4392</v>
      </c>
      <c r="B2124" s="9" t="s">
        <v>3939</v>
      </c>
    </row>
    <row r="2125" spans="1:2" x14ac:dyDescent="0.25">
      <c r="A2125" s="9" t="s">
        <v>4391</v>
      </c>
      <c r="B2125" s="9" t="s">
        <v>3940</v>
      </c>
    </row>
    <row r="2126" spans="1:2" x14ac:dyDescent="0.25">
      <c r="A2126" s="9" t="s">
        <v>4390</v>
      </c>
      <c r="B2126" s="9" t="s">
        <v>3941</v>
      </c>
    </row>
    <row r="2127" spans="1:2" x14ac:dyDescent="0.25">
      <c r="A2127" s="9" t="s">
        <v>4389</v>
      </c>
      <c r="B2127" s="9" t="s">
        <v>3942</v>
      </c>
    </row>
    <row r="2128" spans="1:2" x14ac:dyDescent="0.25">
      <c r="A2128" s="9" t="s">
        <v>4388</v>
      </c>
      <c r="B2128" s="9" t="s">
        <v>3943</v>
      </c>
    </row>
    <row r="2129" spans="1:2" x14ac:dyDescent="0.25">
      <c r="A2129" s="9" t="s">
        <v>4387</v>
      </c>
      <c r="B2129" s="9" t="s">
        <v>3944</v>
      </c>
    </row>
    <row r="2130" spans="1:2" x14ac:dyDescent="0.25">
      <c r="A2130" s="9" t="s">
        <v>4386</v>
      </c>
      <c r="B2130" s="9" t="s">
        <v>3945</v>
      </c>
    </row>
    <row r="2131" spans="1:2" x14ac:dyDescent="0.25">
      <c r="A2131" s="9" t="s">
        <v>4385</v>
      </c>
      <c r="B2131" s="9" t="s">
        <v>3946</v>
      </c>
    </row>
    <row r="2132" spans="1:2" x14ac:dyDescent="0.25">
      <c r="A2132" s="9" t="s">
        <v>4384</v>
      </c>
      <c r="B2132" s="9" t="s">
        <v>3947</v>
      </c>
    </row>
    <row r="2133" spans="1:2" x14ac:dyDescent="0.25">
      <c r="A2133" s="9" t="s">
        <v>4383</v>
      </c>
      <c r="B2133" s="9" t="s">
        <v>4382</v>
      </c>
    </row>
    <row r="2134" spans="1:2" x14ac:dyDescent="0.25">
      <c r="A2134" s="9" t="s">
        <v>4381</v>
      </c>
      <c r="B2134" s="9" t="s">
        <v>4380</v>
      </c>
    </row>
    <row r="2135" spans="1:2" x14ac:dyDescent="0.25">
      <c r="A2135" s="9" t="s">
        <v>4379</v>
      </c>
      <c r="B2135" s="9" t="s">
        <v>3948</v>
      </c>
    </row>
    <row r="2136" spans="1:2" x14ac:dyDescent="0.25">
      <c r="A2136" s="9" t="s">
        <v>4378</v>
      </c>
      <c r="B2136" s="9" t="s">
        <v>3949</v>
      </c>
    </row>
    <row r="2137" spans="1:2" x14ac:dyDescent="0.25">
      <c r="A2137" s="9" t="s">
        <v>4377</v>
      </c>
      <c r="B2137" s="9" t="s">
        <v>3950</v>
      </c>
    </row>
    <row r="2138" spans="1:2" x14ac:dyDescent="0.25">
      <c r="A2138" s="9" t="s">
        <v>4376</v>
      </c>
      <c r="B2138" s="9" t="s">
        <v>3951</v>
      </c>
    </row>
    <row r="2139" spans="1:2" x14ac:dyDescent="0.25">
      <c r="A2139" s="9" t="s">
        <v>4375</v>
      </c>
      <c r="B2139" s="9" t="s">
        <v>3952</v>
      </c>
    </row>
    <row r="2140" spans="1:2" x14ac:dyDescent="0.25">
      <c r="A2140" s="9" t="s">
        <v>4374</v>
      </c>
      <c r="B2140" s="9" t="s">
        <v>3953</v>
      </c>
    </row>
    <row r="2141" spans="1:2" x14ac:dyDescent="0.25">
      <c r="A2141" s="9" t="s">
        <v>4373</v>
      </c>
      <c r="B2141" s="9" t="s">
        <v>3954</v>
      </c>
    </row>
    <row r="2142" spans="1:2" x14ac:dyDescent="0.25">
      <c r="A2142" s="9" t="s">
        <v>4372</v>
      </c>
      <c r="B2142" s="9" t="s">
        <v>3955</v>
      </c>
    </row>
    <row r="2143" spans="1:2" x14ac:dyDescent="0.25">
      <c r="A2143" s="9" t="s">
        <v>4371</v>
      </c>
      <c r="B2143" s="9" t="s">
        <v>3956</v>
      </c>
    </row>
    <row r="2144" spans="1:2" x14ac:dyDescent="0.25">
      <c r="A2144" s="9" t="s">
        <v>4370</v>
      </c>
      <c r="B2144" s="9" t="s">
        <v>3957</v>
      </c>
    </row>
    <row r="2145" spans="1:2" x14ac:dyDescent="0.25">
      <c r="A2145" s="9" t="s">
        <v>4369</v>
      </c>
      <c r="B2145" s="9" t="s">
        <v>3958</v>
      </c>
    </row>
    <row r="2146" spans="1:2" x14ac:dyDescent="0.25">
      <c r="A2146" s="9" t="s">
        <v>4368</v>
      </c>
      <c r="B2146" s="9" t="s">
        <v>3959</v>
      </c>
    </row>
    <row r="2147" spans="1:2" x14ac:dyDescent="0.25">
      <c r="A2147" s="9" t="s">
        <v>4367</v>
      </c>
      <c r="B2147" s="9" t="s">
        <v>3960</v>
      </c>
    </row>
    <row r="2148" spans="1:2" x14ac:dyDescent="0.25">
      <c r="A2148" s="9" t="s">
        <v>4366</v>
      </c>
      <c r="B2148" s="9" t="s">
        <v>3961</v>
      </c>
    </row>
    <row r="2149" spans="1:2" x14ac:dyDescent="0.25">
      <c r="A2149" s="9" t="s">
        <v>4365</v>
      </c>
      <c r="B2149" s="9" t="s">
        <v>3962</v>
      </c>
    </row>
    <row r="2150" spans="1:2" x14ac:dyDescent="0.25">
      <c r="A2150" s="9" t="s">
        <v>4364</v>
      </c>
      <c r="B2150" s="9" t="s">
        <v>3963</v>
      </c>
    </row>
    <row r="2151" spans="1:2" x14ac:dyDescent="0.25">
      <c r="A2151" s="9" t="s">
        <v>4363</v>
      </c>
      <c r="B2151" s="9" t="s">
        <v>3964</v>
      </c>
    </row>
    <row r="2152" spans="1:2" x14ac:dyDescent="0.25">
      <c r="A2152" s="9" t="s">
        <v>4362</v>
      </c>
      <c r="B2152" s="9" t="s">
        <v>3965</v>
      </c>
    </row>
    <row r="2153" spans="1:2" x14ac:dyDescent="0.25">
      <c r="A2153" s="9" t="s">
        <v>4361</v>
      </c>
      <c r="B2153" s="9" t="s">
        <v>3966</v>
      </c>
    </row>
    <row r="2154" spans="1:2" x14ac:dyDescent="0.25">
      <c r="A2154" s="9" t="s">
        <v>4360</v>
      </c>
      <c r="B2154" s="9" t="s">
        <v>3967</v>
      </c>
    </row>
    <row r="2155" spans="1:2" x14ac:dyDescent="0.25">
      <c r="A2155" s="9" t="s">
        <v>4359</v>
      </c>
      <c r="B2155" s="9" t="s">
        <v>3968</v>
      </c>
    </row>
    <row r="2156" spans="1:2" x14ac:dyDescent="0.25">
      <c r="A2156" s="9" t="s">
        <v>4358</v>
      </c>
      <c r="B2156" s="9" t="s">
        <v>3969</v>
      </c>
    </row>
    <row r="2157" spans="1:2" x14ac:dyDescent="0.25">
      <c r="A2157" s="9" t="s">
        <v>4357</v>
      </c>
      <c r="B2157" s="9" t="s">
        <v>3970</v>
      </c>
    </row>
    <row r="2158" spans="1:2" x14ac:dyDescent="0.25">
      <c r="A2158" s="9" t="s">
        <v>4356</v>
      </c>
      <c r="B2158" s="9" t="s">
        <v>3971</v>
      </c>
    </row>
    <row r="2159" spans="1:2" x14ac:dyDescent="0.25">
      <c r="A2159" s="9" t="s">
        <v>4355</v>
      </c>
      <c r="B2159" s="9" t="s">
        <v>3972</v>
      </c>
    </row>
    <row r="2160" spans="1:2" x14ac:dyDescent="0.25">
      <c r="A2160" s="9" t="s">
        <v>4354</v>
      </c>
      <c r="B2160" s="9" t="s">
        <v>3973</v>
      </c>
    </row>
    <row r="2161" spans="1:2" x14ac:dyDescent="0.25">
      <c r="A2161" s="9" t="s">
        <v>4353</v>
      </c>
      <c r="B2161" s="9" t="s">
        <v>3974</v>
      </c>
    </row>
    <row r="2162" spans="1:2" x14ac:dyDescent="0.25">
      <c r="A2162" s="9" t="s">
        <v>4352</v>
      </c>
      <c r="B2162" s="9" t="s">
        <v>3975</v>
      </c>
    </row>
    <row r="2163" spans="1:2" x14ac:dyDescent="0.25">
      <c r="A2163" s="9" t="s">
        <v>4351</v>
      </c>
      <c r="B2163" s="9" t="s">
        <v>3976</v>
      </c>
    </row>
    <row r="2164" spans="1:2" x14ac:dyDescent="0.25">
      <c r="A2164" s="9" t="s">
        <v>4350</v>
      </c>
      <c r="B2164" s="9" t="s">
        <v>3977</v>
      </c>
    </row>
    <row r="2165" spans="1:2" x14ac:dyDescent="0.25">
      <c r="A2165" s="9" t="s">
        <v>4349</v>
      </c>
      <c r="B2165" s="9" t="s">
        <v>3978</v>
      </c>
    </row>
    <row r="2166" spans="1:2" x14ac:dyDescent="0.25">
      <c r="A2166" s="9" t="s">
        <v>4348</v>
      </c>
      <c r="B2166" s="9" t="s">
        <v>3979</v>
      </c>
    </row>
    <row r="2167" spans="1:2" x14ac:dyDescent="0.25">
      <c r="A2167" s="9" t="s">
        <v>4347</v>
      </c>
      <c r="B2167" s="9" t="s">
        <v>3980</v>
      </c>
    </row>
    <row r="2168" spans="1:2" x14ac:dyDescent="0.25">
      <c r="A2168" s="9" t="s">
        <v>4346</v>
      </c>
      <c r="B2168" s="9" t="s">
        <v>3981</v>
      </c>
    </row>
    <row r="2169" spans="1:2" x14ac:dyDescent="0.25">
      <c r="A2169" s="9" t="s">
        <v>4345</v>
      </c>
      <c r="B2169" s="9" t="s">
        <v>3982</v>
      </c>
    </row>
    <row r="2170" spans="1:2" x14ac:dyDescent="0.25">
      <c r="A2170" s="9" t="s">
        <v>4344</v>
      </c>
      <c r="B2170" s="9" t="s">
        <v>3983</v>
      </c>
    </row>
    <row r="2171" spans="1:2" x14ac:dyDescent="0.25">
      <c r="A2171" s="9" t="s">
        <v>4343</v>
      </c>
      <c r="B2171" s="9" t="s">
        <v>3984</v>
      </c>
    </row>
    <row r="2172" spans="1:2" x14ac:dyDescent="0.25">
      <c r="A2172" s="9" t="s">
        <v>4342</v>
      </c>
      <c r="B2172" s="9" t="s">
        <v>3985</v>
      </c>
    </row>
    <row r="2173" spans="1:2" x14ac:dyDescent="0.25">
      <c r="A2173" s="9" t="s">
        <v>4341</v>
      </c>
      <c r="B2173" s="9" t="s">
        <v>3986</v>
      </c>
    </row>
    <row r="2174" spans="1:2" x14ac:dyDescent="0.25">
      <c r="A2174" s="9" t="s">
        <v>4340</v>
      </c>
      <c r="B2174" s="9" t="s">
        <v>3987</v>
      </c>
    </row>
    <row r="2175" spans="1:2" x14ac:dyDescent="0.25">
      <c r="A2175" s="9" t="s">
        <v>4339</v>
      </c>
      <c r="B2175" s="9" t="s">
        <v>3988</v>
      </c>
    </row>
    <row r="2176" spans="1:2" x14ac:dyDescent="0.25">
      <c r="A2176" s="9" t="s">
        <v>4338</v>
      </c>
      <c r="B2176" s="9" t="s">
        <v>3989</v>
      </c>
    </row>
    <row r="2177" spans="1:2" x14ac:dyDescent="0.25">
      <c r="A2177" s="9" t="s">
        <v>4337</v>
      </c>
      <c r="B2177" s="9" t="s">
        <v>3990</v>
      </c>
    </row>
    <row r="2178" spans="1:2" x14ac:dyDescent="0.25">
      <c r="A2178" s="9" t="s">
        <v>4336</v>
      </c>
      <c r="B2178" s="9" t="s">
        <v>3991</v>
      </c>
    </row>
    <row r="2179" spans="1:2" x14ac:dyDescent="0.25">
      <c r="A2179" s="9" t="s">
        <v>4335</v>
      </c>
      <c r="B2179" s="9" t="s">
        <v>3992</v>
      </c>
    </row>
    <row r="2180" spans="1:2" x14ac:dyDescent="0.25">
      <c r="A2180" s="9" t="s">
        <v>4334</v>
      </c>
      <c r="B2180" s="9" t="s">
        <v>3993</v>
      </c>
    </row>
    <row r="2181" spans="1:2" x14ac:dyDescent="0.25">
      <c r="A2181" s="9" t="s">
        <v>4333</v>
      </c>
      <c r="B2181" s="9" t="s">
        <v>3994</v>
      </c>
    </row>
    <row r="2182" spans="1:2" x14ac:dyDescent="0.25">
      <c r="A2182" s="9" t="s">
        <v>4332</v>
      </c>
      <c r="B2182" s="9" t="s">
        <v>3995</v>
      </c>
    </row>
    <row r="2183" spans="1:2" x14ac:dyDescent="0.25">
      <c r="A2183" s="9" t="s">
        <v>4331</v>
      </c>
      <c r="B2183" s="9" t="s">
        <v>3996</v>
      </c>
    </row>
    <row r="2184" spans="1:2" x14ac:dyDescent="0.25">
      <c r="A2184" s="9" t="s">
        <v>4330</v>
      </c>
      <c r="B2184" s="9" t="s">
        <v>3997</v>
      </c>
    </row>
    <row r="2185" spans="1:2" x14ac:dyDescent="0.25">
      <c r="A2185" s="9" t="s">
        <v>4329</v>
      </c>
      <c r="B2185" s="9" t="s">
        <v>3998</v>
      </c>
    </row>
    <row r="2186" spans="1:2" x14ac:dyDescent="0.25">
      <c r="A2186" s="9" t="s">
        <v>4328</v>
      </c>
      <c r="B2186" s="9" t="s">
        <v>3999</v>
      </c>
    </row>
    <row r="2187" spans="1:2" x14ac:dyDescent="0.25">
      <c r="A2187" s="9" t="s">
        <v>4327</v>
      </c>
      <c r="B2187" s="9" t="s">
        <v>4000</v>
      </c>
    </row>
    <row r="2188" spans="1:2" x14ac:dyDescent="0.25">
      <c r="A2188" s="9" t="s">
        <v>4326</v>
      </c>
      <c r="B2188" s="9" t="s">
        <v>4001</v>
      </c>
    </row>
    <row r="2189" spans="1:2" x14ac:dyDescent="0.25">
      <c r="A2189" s="9" t="s">
        <v>4325</v>
      </c>
      <c r="B2189" s="9" t="s">
        <v>4002</v>
      </c>
    </row>
    <row r="2190" spans="1:2" x14ac:dyDescent="0.25">
      <c r="A2190" s="9" t="s">
        <v>4324</v>
      </c>
      <c r="B2190" s="9" t="s">
        <v>4003</v>
      </c>
    </row>
    <row r="2191" spans="1:2" x14ac:dyDescent="0.25">
      <c r="A2191" s="9" t="s">
        <v>4323</v>
      </c>
      <c r="B2191" s="9" t="s">
        <v>4004</v>
      </c>
    </row>
    <row r="2192" spans="1:2" x14ac:dyDescent="0.25">
      <c r="A2192" s="9" t="s">
        <v>4322</v>
      </c>
      <c r="B2192" s="9" t="s">
        <v>4005</v>
      </c>
    </row>
    <row r="2193" spans="1:2" x14ac:dyDescent="0.25">
      <c r="A2193" s="9" t="s">
        <v>4321</v>
      </c>
      <c r="B2193" s="9" t="s">
        <v>4006</v>
      </c>
    </row>
    <row r="2194" spans="1:2" x14ac:dyDescent="0.25">
      <c r="A2194" s="9" t="s">
        <v>4320</v>
      </c>
      <c r="B2194" s="9" t="s">
        <v>4007</v>
      </c>
    </row>
    <row r="2195" spans="1:2" x14ac:dyDescent="0.25">
      <c r="A2195" s="9" t="s">
        <v>4319</v>
      </c>
      <c r="B2195" s="9" t="s">
        <v>4008</v>
      </c>
    </row>
    <row r="2196" spans="1:2" x14ac:dyDescent="0.25">
      <c r="A2196" s="9" t="s">
        <v>4318</v>
      </c>
      <c r="B2196" s="9" t="s">
        <v>4009</v>
      </c>
    </row>
    <row r="2197" spans="1:2" x14ac:dyDescent="0.25">
      <c r="A2197" s="9" t="s">
        <v>4317</v>
      </c>
      <c r="B2197" s="9" t="s">
        <v>4010</v>
      </c>
    </row>
    <row r="2198" spans="1:2" x14ac:dyDescent="0.25">
      <c r="A2198" s="9" t="s">
        <v>4316</v>
      </c>
      <c r="B2198" s="9" t="s">
        <v>4011</v>
      </c>
    </row>
    <row r="2199" spans="1:2" x14ac:dyDescent="0.25">
      <c r="A2199" s="9" t="s">
        <v>4315</v>
      </c>
      <c r="B2199" s="9" t="s">
        <v>4012</v>
      </c>
    </row>
    <row r="2200" spans="1:2" x14ac:dyDescent="0.25">
      <c r="A2200" s="9" t="s">
        <v>4314</v>
      </c>
      <c r="B2200" s="9" t="s">
        <v>4013</v>
      </c>
    </row>
    <row r="2201" spans="1:2" x14ac:dyDescent="0.25">
      <c r="A2201" s="9" t="s">
        <v>4313</v>
      </c>
      <c r="B2201" s="9" t="s">
        <v>4014</v>
      </c>
    </row>
    <row r="2202" spans="1:2" x14ac:dyDescent="0.25">
      <c r="A2202" s="9" t="s">
        <v>4312</v>
      </c>
      <c r="B2202" s="9" t="s">
        <v>4015</v>
      </c>
    </row>
    <row r="2203" spans="1:2" x14ac:dyDescent="0.25">
      <c r="A2203" s="9" t="s">
        <v>4311</v>
      </c>
      <c r="B2203" s="9" t="s">
        <v>4016</v>
      </c>
    </row>
    <row r="2204" spans="1:2" x14ac:dyDescent="0.25">
      <c r="A2204" s="9" t="s">
        <v>4310</v>
      </c>
      <c r="B2204" s="9" t="s">
        <v>4017</v>
      </c>
    </row>
    <row r="2205" spans="1:2" x14ac:dyDescent="0.25">
      <c r="A2205" s="9" t="s">
        <v>4309</v>
      </c>
      <c r="B2205" s="9" t="s">
        <v>4018</v>
      </c>
    </row>
    <row r="2206" spans="1:2" x14ac:dyDescent="0.25">
      <c r="A2206" s="9" t="s">
        <v>4308</v>
      </c>
      <c r="B2206" s="9" t="s">
        <v>4019</v>
      </c>
    </row>
    <row r="2207" spans="1:2" x14ac:dyDescent="0.25">
      <c r="A2207" s="9" t="s">
        <v>4307</v>
      </c>
      <c r="B2207" s="9" t="s">
        <v>19</v>
      </c>
    </row>
    <row r="2208" spans="1:2" x14ac:dyDescent="0.25">
      <c r="A2208" s="9" t="s">
        <v>4306</v>
      </c>
      <c r="B2208" s="9" t="s">
        <v>4020</v>
      </c>
    </row>
    <row r="2209" spans="1:2" x14ac:dyDescent="0.25">
      <c r="A2209" s="9" t="s">
        <v>4305</v>
      </c>
      <c r="B2209" s="9" t="s">
        <v>4021</v>
      </c>
    </row>
    <row r="2210" spans="1:2" x14ac:dyDescent="0.25">
      <c r="A2210" s="9" t="s">
        <v>4304</v>
      </c>
      <c r="B2210" s="9" t="s">
        <v>58</v>
      </c>
    </row>
    <row r="2211" spans="1:2" x14ac:dyDescent="0.25">
      <c r="A2211" s="9" t="s">
        <v>4303</v>
      </c>
      <c r="B2211" s="9" t="s">
        <v>4022</v>
      </c>
    </row>
    <row r="2212" spans="1:2" x14ac:dyDescent="0.25">
      <c r="A2212" s="9" t="s">
        <v>4302</v>
      </c>
      <c r="B2212" s="9" t="s">
        <v>59</v>
      </c>
    </row>
    <row r="2213" spans="1:2" x14ac:dyDescent="0.25">
      <c r="A2213" s="9" t="s">
        <v>4301</v>
      </c>
      <c r="B2213" s="9" t="s">
        <v>4023</v>
      </c>
    </row>
    <row r="2214" spans="1:2" x14ac:dyDescent="0.25">
      <c r="A2214" s="9" t="s">
        <v>4300</v>
      </c>
      <c r="B2214" s="9" t="s">
        <v>60</v>
      </c>
    </row>
    <row r="2215" spans="1:2" x14ac:dyDescent="0.25">
      <c r="A2215" s="9" t="s">
        <v>4299</v>
      </c>
      <c r="B2215" s="9" t="s">
        <v>4024</v>
      </c>
    </row>
    <row r="2216" spans="1:2" x14ac:dyDescent="0.25">
      <c r="A2216" s="9" t="s">
        <v>4298</v>
      </c>
      <c r="B2216" s="9" t="s">
        <v>4297</v>
      </c>
    </row>
    <row r="2217" spans="1:2" x14ac:dyDescent="0.25">
      <c r="A2217" s="9" t="s">
        <v>4296</v>
      </c>
      <c r="B2217" s="9" t="s">
        <v>4295</v>
      </c>
    </row>
    <row r="2218" spans="1:2" x14ac:dyDescent="0.25">
      <c r="A2218" s="9" t="s">
        <v>4294</v>
      </c>
      <c r="B2218" s="9" t="s">
        <v>4025</v>
      </c>
    </row>
    <row r="2219" spans="1:2" x14ac:dyDescent="0.25">
      <c r="A2219" s="9" t="s">
        <v>4293</v>
      </c>
      <c r="B2219" s="9" t="s">
        <v>4026</v>
      </c>
    </row>
    <row r="2220" spans="1:2" x14ac:dyDescent="0.25">
      <c r="A2220" s="9" t="s">
        <v>4292</v>
      </c>
      <c r="B2220" s="9" t="s">
        <v>61</v>
      </c>
    </row>
    <row r="2221" spans="1:2" x14ac:dyDescent="0.25">
      <c r="A2221" s="9" t="s">
        <v>4291</v>
      </c>
      <c r="B2221" s="9" t="s">
        <v>62</v>
      </c>
    </row>
    <row r="2222" spans="1:2" x14ac:dyDescent="0.25">
      <c r="A2222" s="9" t="s">
        <v>4290</v>
      </c>
      <c r="B2222" s="9" t="s">
        <v>63</v>
      </c>
    </row>
    <row r="2223" spans="1:2" x14ac:dyDescent="0.25">
      <c r="A2223" s="9" t="s">
        <v>4289</v>
      </c>
      <c r="B2223" s="9" t="s">
        <v>4027</v>
      </c>
    </row>
    <row r="2224" spans="1:2" x14ac:dyDescent="0.25">
      <c r="A2224" s="9" t="s">
        <v>4288</v>
      </c>
      <c r="B2224" s="9" t="s">
        <v>4028</v>
      </c>
    </row>
    <row r="2225" spans="1:2" x14ac:dyDescent="0.25">
      <c r="A2225" s="9" t="s">
        <v>4287</v>
      </c>
      <c r="B2225" s="9" t="s">
        <v>4029</v>
      </c>
    </row>
    <row r="2226" spans="1:2" x14ac:dyDescent="0.25">
      <c r="A2226" s="9" t="s">
        <v>4286</v>
      </c>
      <c r="B2226" s="9" t="s">
        <v>4030</v>
      </c>
    </row>
    <row r="2227" spans="1:2" x14ac:dyDescent="0.25">
      <c r="A2227" s="9" t="s">
        <v>4285</v>
      </c>
      <c r="B2227" s="9" t="s">
        <v>4031</v>
      </c>
    </row>
    <row r="2228" spans="1:2" x14ac:dyDescent="0.25">
      <c r="A2228" s="9" t="s">
        <v>4284</v>
      </c>
      <c r="B2228" s="9" t="s">
        <v>4283</v>
      </c>
    </row>
    <row r="2229" spans="1:2" x14ac:dyDescent="0.25">
      <c r="A2229" s="9" t="s">
        <v>4282</v>
      </c>
      <c r="B2229" s="9" t="s">
        <v>4281</v>
      </c>
    </row>
    <row r="2230" spans="1:2" x14ac:dyDescent="0.25">
      <c r="A2230" s="9" t="s">
        <v>4280</v>
      </c>
      <c r="B2230" s="9" t="s">
        <v>4032</v>
      </c>
    </row>
    <row r="2231" spans="1:2" x14ac:dyDescent="0.25">
      <c r="A2231" s="9" t="s">
        <v>4279</v>
      </c>
      <c r="B2231" s="9" t="s">
        <v>4033</v>
      </c>
    </row>
    <row r="2232" spans="1:2" x14ac:dyDescent="0.25">
      <c r="A2232" s="9" t="s">
        <v>4278</v>
      </c>
      <c r="B2232" s="9" t="s">
        <v>4034</v>
      </c>
    </row>
    <row r="2233" spans="1:2" x14ac:dyDescent="0.25">
      <c r="A2233" s="9" t="s">
        <v>4277</v>
      </c>
      <c r="B2233" s="9" t="s">
        <v>4035</v>
      </c>
    </row>
    <row r="2234" spans="1:2" x14ac:dyDescent="0.25">
      <c r="A2234" s="9" t="s">
        <v>4276</v>
      </c>
      <c r="B2234" s="9" t="s">
        <v>4036</v>
      </c>
    </row>
    <row r="2235" spans="1:2" x14ac:dyDescent="0.25">
      <c r="A2235" s="9" t="s">
        <v>4275</v>
      </c>
      <c r="B2235" s="9" t="s">
        <v>4274</v>
      </c>
    </row>
    <row r="2236" spans="1:2" x14ac:dyDescent="0.25">
      <c r="A2236" s="9" t="s">
        <v>4273</v>
      </c>
      <c r="B2236" s="9" t="s">
        <v>4272</v>
      </c>
    </row>
    <row r="2237" spans="1:2" x14ac:dyDescent="0.25">
      <c r="A2237" s="9" t="s">
        <v>4271</v>
      </c>
      <c r="B2237" s="9" t="s">
        <v>4037</v>
      </c>
    </row>
    <row r="2238" spans="1:2" x14ac:dyDescent="0.25">
      <c r="A2238" s="9" t="s">
        <v>4270</v>
      </c>
      <c r="B2238" s="9" t="s">
        <v>4038</v>
      </c>
    </row>
    <row r="2239" spans="1:2" x14ac:dyDescent="0.25">
      <c r="A2239" s="9" t="s">
        <v>4269</v>
      </c>
      <c r="B2239" s="9" t="s">
        <v>4039</v>
      </c>
    </row>
    <row r="2240" spans="1:2" x14ac:dyDescent="0.25">
      <c r="A2240" s="9" t="s">
        <v>4268</v>
      </c>
      <c r="B2240" s="9" t="s">
        <v>4040</v>
      </c>
    </row>
    <row r="2241" spans="1:2" x14ac:dyDescent="0.25">
      <c r="A2241" s="9" t="s">
        <v>4267</v>
      </c>
      <c r="B2241" s="9" t="s">
        <v>4041</v>
      </c>
    </row>
    <row r="2242" spans="1:2" x14ac:dyDescent="0.25">
      <c r="A2242" s="9" t="s">
        <v>4266</v>
      </c>
      <c r="B2242" s="9" t="s">
        <v>4042</v>
      </c>
    </row>
    <row r="2243" spans="1:2" x14ac:dyDescent="0.25">
      <c r="A2243" s="9" t="s">
        <v>4265</v>
      </c>
      <c r="B2243" s="9" t="s">
        <v>4043</v>
      </c>
    </row>
    <row r="2244" spans="1:2" x14ac:dyDescent="0.25">
      <c r="A2244" s="9" t="s">
        <v>4264</v>
      </c>
      <c r="B2244" s="9" t="s">
        <v>4044</v>
      </c>
    </row>
    <row r="2245" spans="1:2" x14ac:dyDescent="0.25">
      <c r="A2245" s="9" t="s">
        <v>4263</v>
      </c>
      <c r="B2245" s="9" t="s">
        <v>4045</v>
      </c>
    </row>
    <row r="2246" spans="1:2" x14ac:dyDescent="0.25">
      <c r="A2246" s="9" t="s">
        <v>4262</v>
      </c>
      <c r="B2246" s="9" t="s">
        <v>4046</v>
      </c>
    </row>
    <row r="2247" spans="1:2" x14ac:dyDescent="0.25">
      <c r="A2247" s="9" t="s">
        <v>4261</v>
      </c>
      <c r="B2247" s="9" t="s">
        <v>4047</v>
      </c>
    </row>
    <row r="2248" spans="1:2" x14ac:dyDescent="0.25">
      <c r="A2248" s="9" t="s">
        <v>4260</v>
      </c>
      <c r="B2248" s="9" t="s">
        <v>4048</v>
      </c>
    </row>
    <row r="2249" spans="1:2" x14ac:dyDescent="0.25">
      <c r="A2249" s="9" t="s">
        <v>4259</v>
      </c>
      <c r="B2249" s="9" t="s">
        <v>4049</v>
      </c>
    </row>
    <row r="2250" spans="1:2" x14ac:dyDescent="0.25">
      <c r="A2250" s="9" t="s">
        <v>4258</v>
      </c>
      <c r="B2250" s="9" t="s">
        <v>4050</v>
      </c>
    </row>
    <row r="2251" spans="1:2" x14ac:dyDescent="0.25">
      <c r="A2251" s="9" t="s">
        <v>4257</v>
      </c>
      <c r="B2251" s="9" t="s">
        <v>4051</v>
      </c>
    </row>
    <row r="2252" spans="1:2" x14ac:dyDescent="0.25">
      <c r="A2252" s="9" t="s">
        <v>4256</v>
      </c>
      <c r="B2252" s="9" t="s">
        <v>4052</v>
      </c>
    </row>
    <row r="2253" spans="1:2" x14ac:dyDescent="0.25">
      <c r="A2253" s="9" t="s">
        <v>4255</v>
      </c>
      <c r="B2253" s="9" t="s">
        <v>4053</v>
      </c>
    </row>
    <row r="2254" spans="1:2" x14ac:dyDescent="0.25">
      <c r="A2254" s="9" t="s">
        <v>4254</v>
      </c>
      <c r="B2254" s="9" t="s">
        <v>4054</v>
      </c>
    </row>
    <row r="2255" spans="1:2" x14ac:dyDescent="0.25">
      <c r="A2255" s="9" t="s">
        <v>4253</v>
      </c>
      <c r="B2255" s="9" t="s">
        <v>4055</v>
      </c>
    </row>
    <row r="2256" spans="1:2" x14ac:dyDescent="0.25">
      <c r="A2256" s="9" t="s">
        <v>4252</v>
      </c>
      <c r="B2256" s="9" t="s">
        <v>4056</v>
      </c>
    </row>
    <row r="2257" spans="1:2" x14ac:dyDescent="0.25">
      <c r="A2257" s="9" t="s">
        <v>4251</v>
      </c>
      <c r="B2257" s="9" t="s">
        <v>4057</v>
      </c>
    </row>
    <row r="2258" spans="1:2" x14ac:dyDescent="0.25">
      <c r="A2258" s="9" t="s">
        <v>4250</v>
      </c>
      <c r="B2258" s="9" t="s">
        <v>4058</v>
      </c>
    </row>
    <row r="2259" spans="1:2" x14ac:dyDescent="0.25">
      <c r="A2259" s="9" t="s">
        <v>4249</v>
      </c>
      <c r="B2259" s="9" t="s">
        <v>4059</v>
      </c>
    </row>
    <row r="2260" spans="1:2" x14ac:dyDescent="0.25">
      <c r="A2260" s="9" t="s">
        <v>4248</v>
      </c>
      <c r="B2260" s="9" t="s">
        <v>4060</v>
      </c>
    </row>
    <row r="2261" spans="1:2" x14ac:dyDescent="0.25">
      <c r="A2261" s="9" t="s">
        <v>4247</v>
      </c>
      <c r="B2261" s="9" t="s">
        <v>4061</v>
      </c>
    </row>
    <row r="2262" spans="1:2" x14ac:dyDescent="0.25">
      <c r="A2262" s="9" t="s">
        <v>4246</v>
      </c>
      <c r="B2262" s="9" t="s">
        <v>4062</v>
      </c>
    </row>
    <row r="2263" spans="1:2" x14ac:dyDescent="0.25">
      <c r="A2263" s="9" t="s">
        <v>4245</v>
      </c>
      <c r="B2263" s="9" t="s">
        <v>4063</v>
      </c>
    </row>
    <row r="2264" spans="1:2" x14ac:dyDescent="0.25">
      <c r="A2264" s="9" t="s">
        <v>4244</v>
      </c>
      <c r="B2264" s="9" t="s">
        <v>4064</v>
      </c>
    </row>
    <row r="2265" spans="1:2" x14ac:dyDescent="0.25">
      <c r="A2265" s="9" t="s">
        <v>4243</v>
      </c>
      <c r="B2265" s="9" t="s">
        <v>4065</v>
      </c>
    </row>
    <row r="2266" spans="1:2" x14ac:dyDescent="0.25">
      <c r="A2266" s="9" t="s">
        <v>4242</v>
      </c>
      <c r="B2266" s="9" t="s">
        <v>4066</v>
      </c>
    </row>
    <row r="2267" spans="1:2" x14ac:dyDescent="0.25">
      <c r="A2267" s="9" t="s">
        <v>4241</v>
      </c>
      <c r="B2267" s="9" t="s">
        <v>4067</v>
      </c>
    </row>
    <row r="2268" spans="1:2" x14ac:dyDescent="0.25">
      <c r="A2268" s="9" t="s">
        <v>4240</v>
      </c>
      <c r="B2268" s="9" t="s">
        <v>4068</v>
      </c>
    </row>
    <row r="2269" spans="1:2" x14ac:dyDescent="0.25">
      <c r="A2269" s="9" t="s">
        <v>4239</v>
      </c>
      <c r="B2269" s="9" t="s">
        <v>4069</v>
      </c>
    </row>
    <row r="2270" spans="1:2" x14ac:dyDescent="0.25">
      <c r="A2270" s="9" t="s">
        <v>4238</v>
      </c>
      <c r="B2270" s="9" t="s">
        <v>4070</v>
      </c>
    </row>
    <row r="2271" spans="1:2" x14ac:dyDescent="0.25">
      <c r="A2271" s="9" t="s">
        <v>4237</v>
      </c>
      <c r="B2271" s="9" t="s">
        <v>4071</v>
      </c>
    </row>
    <row r="2272" spans="1:2" x14ac:dyDescent="0.25">
      <c r="A2272" s="9" t="s">
        <v>4236</v>
      </c>
      <c r="B2272" s="9" t="s">
        <v>4072</v>
      </c>
    </row>
    <row r="2273" spans="1:2" x14ac:dyDescent="0.25">
      <c r="A2273" s="9" t="s">
        <v>4235</v>
      </c>
      <c r="B2273" s="9" t="s">
        <v>4234</v>
      </c>
    </row>
    <row r="2274" spans="1:2" x14ac:dyDescent="0.25">
      <c r="A2274" s="9" t="s">
        <v>4233</v>
      </c>
      <c r="B2274" s="9" t="s">
        <v>4073</v>
      </c>
    </row>
    <row r="2275" spans="1:2" x14ac:dyDescent="0.25">
      <c r="A2275" s="9" t="s">
        <v>4232</v>
      </c>
      <c r="B2275" s="9" t="s">
        <v>4074</v>
      </c>
    </row>
    <row r="2276" spans="1:2" x14ac:dyDescent="0.25">
      <c r="A2276" s="9" t="s">
        <v>4231</v>
      </c>
      <c r="B2276" s="9" t="s">
        <v>4075</v>
      </c>
    </row>
    <row r="2277" spans="1:2" x14ac:dyDescent="0.25">
      <c r="A2277" s="9" t="s">
        <v>4230</v>
      </c>
      <c r="B2277" s="9" t="s">
        <v>4076</v>
      </c>
    </row>
    <row r="2278" spans="1:2" x14ac:dyDescent="0.25">
      <c r="A2278" s="9" t="s">
        <v>4229</v>
      </c>
      <c r="B2278" s="9" t="s">
        <v>4228</v>
      </c>
    </row>
    <row r="2279" spans="1:2" x14ac:dyDescent="0.25">
      <c r="A2279" s="9" t="s">
        <v>4227</v>
      </c>
      <c r="B2279" s="9" t="s">
        <v>4226</v>
      </c>
    </row>
    <row r="2280" spans="1:2" x14ac:dyDescent="0.25">
      <c r="A2280" s="9" t="s">
        <v>4225</v>
      </c>
      <c r="B2280" s="9" t="s">
        <v>4224</v>
      </c>
    </row>
    <row r="2281" spans="1:2" x14ac:dyDescent="0.25">
      <c r="A2281" s="9" t="s">
        <v>4223</v>
      </c>
      <c r="B2281" s="9" t="s">
        <v>4222</v>
      </c>
    </row>
    <row r="2282" spans="1:2" x14ac:dyDescent="0.25">
      <c r="A2282" s="9" t="s">
        <v>4221</v>
      </c>
      <c r="B2282" s="9" t="s">
        <v>4077</v>
      </c>
    </row>
    <row r="2283" spans="1:2" x14ac:dyDescent="0.25">
      <c r="A2283" s="9" t="s">
        <v>4220</v>
      </c>
      <c r="B2283" s="9" t="s">
        <v>4078</v>
      </c>
    </row>
    <row r="2284" spans="1:2" x14ac:dyDescent="0.25">
      <c r="A2284" s="9" t="s">
        <v>4219</v>
      </c>
      <c r="B2284" s="9" t="s">
        <v>4079</v>
      </c>
    </row>
    <row r="2285" spans="1:2" x14ac:dyDescent="0.25">
      <c r="A2285" s="9" t="s">
        <v>4218</v>
      </c>
      <c r="B2285" s="9" t="s">
        <v>4080</v>
      </c>
    </row>
    <row r="2286" spans="1:2" x14ac:dyDescent="0.25">
      <c r="A2286" s="9" t="s">
        <v>4217</v>
      </c>
      <c r="B2286" s="9" t="s">
        <v>4081</v>
      </c>
    </row>
    <row r="2287" spans="1:2" x14ac:dyDescent="0.25">
      <c r="A2287" s="9" t="s">
        <v>4216</v>
      </c>
      <c r="B2287" s="9" t="s">
        <v>4082</v>
      </c>
    </row>
    <row r="2288" spans="1:2" x14ac:dyDescent="0.25">
      <c r="A2288" s="9" t="s">
        <v>4215</v>
      </c>
      <c r="B2288" s="9" t="s">
        <v>4083</v>
      </c>
    </row>
    <row r="2289" spans="1:2" x14ac:dyDescent="0.25">
      <c r="A2289" s="9" t="s">
        <v>4214</v>
      </c>
      <c r="B2289" s="9" t="s">
        <v>4084</v>
      </c>
    </row>
    <row r="2290" spans="1:2" x14ac:dyDescent="0.25">
      <c r="A2290" s="9" t="s">
        <v>4213</v>
      </c>
      <c r="B2290" s="9" t="s">
        <v>4085</v>
      </c>
    </row>
    <row r="2291" spans="1:2" x14ac:dyDescent="0.25">
      <c r="A2291" s="9" t="s">
        <v>4212</v>
      </c>
      <c r="B2291" s="9" t="s">
        <v>4086</v>
      </c>
    </row>
    <row r="2292" spans="1:2" x14ac:dyDescent="0.25">
      <c r="A2292" s="9" t="s">
        <v>4211</v>
      </c>
      <c r="B2292" s="9" t="s">
        <v>4087</v>
      </c>
    </row>
    <row r="2293" spans="1:2" x14ac:dyDescent="0.25">
      <c r="A2293" s="9" t="s">
        <v>4210</v>
      </c>
      <c r="B2293" s="9" t="s">
        <v>4088</v>
      </c>
    </row>
    <row r="2294" spans="1:2" x14ac:dyDescent="0.25">
      <c r="A2294" s="9" t="s">
        <v>4209</v>
      </c>
      <c r="B2294" s="9" t="s">
        <v>4089</v>
      </c>
    </row>
    <row r="2295" spans="1:2" x14ac:dyDescent="0.25">
      <c r="A2295" s="9" t="s">
        <v>4208</v>
      </c>
      <c r="B2295" s="9" t="s">
        <v>4090</v>
      </c>
    </row>
    <row r="2296" spans="1:2" x14ac:dyDescent="0.25">
      <c r="A2296" s="9" t="s">
        <v>4207</v>
      </c>
      <c r="B2296" s="9" t="s">
        <v>3769</v>
      </c>
    </row>
    <row r="2297" spans="1:2" x14ac:dyDescent="0.25">
      <c r="A2297" s="9" t="s">
        <v>4206</v>
      </c>
      <c r="B2297" s="9" t="s">
        <v>4091</v>
      </c>
    </row>
    <row r="2298" spans="1:2" x14ac:dyDescent="0.25">
      <c r="A2298" s="9" t="s">
        <v>4205</v>
      </c>
      <c r="B2298" s="9" t="s">
        <v>4092</v>
      </c>
    </row>
    <row r="2299" spans="1:2" x14ac:dyDescent="0.25">
      <c r="A2299" s="9" t="s">
        <v>4204</v>
      </c>
      <c r="B2299" s="9" t="s">
        <v>4203</v>
      </c>
    </row>
    <row r="2300" spans="1:2" x14ac:dyDescent="0.25">
      <c r="A2300" s="9" t="s">
        <v>4202</v>
      </c>
      <c r="B2300" s="9" t="s">
        <v>4093</v>
      </c>
    </row>
    <row r="2301" spans="1:2" x14ac:dyDescent="0.25">
      <c r="A2301" s="9" t="s">
        <v>4201</v>
      </c>
      <c r="B2301" s="9" t="s">
        <v>4094</v>
      </c>
    </row>
    <row r="2302" spans="1:2" x14ac:dyDescent="0.25">
      <c r="A2302" s="9" t="s">
        <v>4200</v>
      </c>
      <c r="B2302" s="9" t="s">
        <v>4095</v>
      </c>
    </row>
    <row r="2303" spans="1:2" x14ac:dyDescent="0.25">
      <c r="A2303" s="9" t="s">
        <v>4199</v>
      </c>
      <c r="B2303" s="9" t="s">
        <v>4096</v>
      </c>
    </row>
    <row r="2304" spans="1:2" x14ac:dyDescent="0.25">
      <c r="A2304" s="9" t="s">
        <v>4198</v>
      </c>
      <c r="B2304" s="9" t="s">
        <v>4097</v>
      </c>
    </row>
    <row r="2305" spans="1:2" x14ac:dyDescent="0.25">
      <c r="A2305" s="9" t="s">
        <v>4197</v>
      </c>
      <c r="B2305" s="9" t="s">
        <v>4098</v>
      </c>
    </row>
    <row r="2306" spans="1:2" x14ac:dyDescent="0.25">
      <c r="A2306" s="9" t="s">
        <v>4196</v>
      </c>
      <c r="B2306" s="9" t="s">
        <v>4099</v>
      </c>
    </row>
    <row r="2307" spans="1:2" x14ac:dyDescent="0.25">
      <c r="A2307" s="9" t="s">
        <v>4195</v>
      </c>
      <c r="B2307" s="9" t="s">
        <v>4100</v>
      </c>
    </row>
    <row r="2308" spans="1:2" x14ac:dyDescent="0.25">
      <c r="A2308" s="9" t="s">
        <v>4194</v>
      </c>
      <c r="B2308" s="9" t="s">
        <v>4101</v>
      </c>
    </row>
    <row r="2309" spans="1:2" x14ac:dyDescent="0.25">
      <c r="A2309" s="9" t="s">
        <v>4193</v>
      </c>
      <c r="B2309" s="9" t="s">
        <v>4102</v>
      </c>
    </row>
    <row r="2310" spans="1:2" x14ac:dyDescent="0.25">
      <c r="A2310" s="9" t="s">
        <v>4192</v>
      </c>
      <c r="B2310" s="9" t="s">
        <v>4191</v>
      </c>
    </row>
    <row r="2311" spans="1:2" x14ac:dyDescent="0.25">
      <c r="A2311" s="9" t="s">
        <v>4190</v>
      </c>
      <c r="B2311" s="9" t="s">
        <v>4189</v>
      </c>
    </row>
    <row r="2312" spans="1:2" x14ac:dyDescent="0.25">
      <c r="A2312" s="9" t="s">
        <v>4188</v>
      </c>
      <c r="B2312" s="9" t="s">
        <v>4187</v>
      </c>
    </row>
    <row r="2313" spans="1:2" x14ac:dyDescent="0.25">
      <c r="A2313" s="9" t="s">
        <v>4186</v>
      </c>
      <c r="B2313" s="9" t="s">
        <v>4185</v>
      </c>
    </row>
    <row r="2314" spans="1:2" x14ac:dyDescent="0.25">
      <c r="A2314" s="9" t="s">
        <v>4184</v>
      </c>
      <c r="B2314" s="9" t="s">
        <v>4103</v>
      </c>
    </row>
    <row r="2315" spans="1:2" x14ac:dyDescent="0.25">
      <c r="A2315" s="9" t="s">
        <v>4183</v>
      </c>
      <c r="B2315" s="9" t="s">
        <v>4104</v>
      </c>
    </row>
    <row r="2316" spans="1:2" x14ac:dyDescent="0.25">
      <c r="A2316" s="9" t="s">
        <v>4182</v>
      </c>
      <c r="B2316" s="9" t="s">
        <v>4105</v>
      </c>
    </row>
    <row r="2317" spans="1:2" x14ac:dyDescent="0.25">
      <c r="A2317" s="9" t="s">
        <v>4181</v>
      </c>
      <c r="B2317" s="9" t="s">
        <v>4106</v>
      </c>
    </row>
    <row r="2318" spans="1:2" x14ac:dyDescent="0.25">
      <c r="A2318" s="9" t="s">
        <v>4180</v>
      </c>
      <c r="B2318" s="9" t="s">
        <v>4179</v>
      </c>
    </row>
    <row r="2319" spans="1:2" x14ac:dyDescent="0.25">
      <c r="A2319" s="9" t="s">
        <v>4178</v>
      </c>
      <c r="B2319" s="9" t="s">
        <v>4107</v>
      </c>
    </row>
    <row r="2320" spans="1:2" x14ac:dyDescent="0.25">
      <c r="A2320" s="9" t="s">
        <v>4177</v>
      </c>
      <c r="B2320" s="9" t="s">
        <v>4108</v>
      </c>
    </row>
    <row r="2321" spans="1:2" x14ac:dyDescent="0.25">
      <c r="A2321" s="9" t="s">
        <v>4176</v>
      </c>
      <c r="B2321" s="9" t="s">
        <v>4109</v>
      </c>
    </row>
    <row r="2322" spans="1:2" x14ac:dyDescent="0.25">
      <c r="A2322" s="9" t="s">
        <v>4175</v>
      </c>
      <c r="B2322" s="9" t="s">
        <v>4110</v>
      </c>
    </row>
    <row r="2323" spans="1:2" x14ac:dyDescent="0.25">
      <c r="A2323" s="9" t="s">
        <v>4174</v>
      </c>
      <c r="B2323" s="9" t="s">
        <v>4111</v>
      </c>
    </row>
    <row r="2324" spans="1:2" x14ac:dyDescent="0.25">
      <c r="A2324" s="9" t="s">
        <v>4173</v>
      </c>
      <c r="B2324" s="9" t="s">
        <v>4112</v>
      </c>
    </row>
    <row r="2325" spans="1:2" x14ac:dyDescent="0.25">
      <c r="A2325" s="9" t="s">
        <v>4172</v>
      </c>
      <c r="B2325" s="9" t="s">
        <v>4113</v>
      </c>
    </row>
    <row r="2326" spans="1:2" x14ac:dyDescent="0.25">
      <c r="A2326" s="9" t="s">
        <v>4171</v>
      </c>
      <c r="B2326" s="9" t="s">
        <v>4170</v>
      </c>
    </row>
    <row r="2327" spans="1:2" x14ac:dyDescent="0.25">
      <c r="A2327" s="9" t="s">
        <v>4169</v>
      </c>
      <c r="B2327" s="9" t="s">
        <v>4114</v>
      </c>
    </row>
    <row r="2328" spans="1:2" x14ac:dyDescent="0.25">
      <c r="A2328" s="9" t="s">
        <v>4168</v>
      </c>
      <c r="B2328" s="9" t="s">
        <v>4115</v>
      </c>
    </row>
    <row r="2329" spans="1:2" x14ac:dyDescent="0.25">
      <c r="A2329" s="9" t="s">
        <v>4167</v>
      </c>
      <c r="B2329" s="9" t="s">
        <v>4116</v>
      </c>
    </row>
    <row r="2330" spans="1:2" x14ac:dyDescent="0.25">
      <c r="A2330" s="9" t="s">
        <v>4166</v>
      </c>
      <c r="B2330" s="9" t="s">
        <v>4117</v>
      </c>
    </row>
    <row r="2331" spans="1:2" x14ac:dyDescent="0.25">
      <c r="A2331" s="9" t="s">
        <v>4165</v>
      </c>
      <c r="B2331" s="9" t="s">
        <v>4118</v>
      </c>
    </row>
    <row r="2332" spans="1:2" x14ac:dyDescent="0.25">
      <c r="A2332" s="9" t="s">
        <v>4164</v>
      </c>
      <c r="B2332" s="9" t="s">
        <v>4119</v>
      </c>
    </row>
    <row r="2333" spans="1:2" x14ac:dyDescent="0.25">
      <c r="A2333" s="9" t="s">
        <v>4163</v>
      </c>
      <c r="B2333" s="9" t="s">
        <v>4120</v>
      </c>
    </row>
    <row r="2334" spans="1:2" x14ac:dyDescent="0.25">
      <c r="A2334" s="9" t="s">
        <v>4162</v>
      </c>
      <c r="B2334" s="9" t="s">
        <v>4121</v>
      </c>
    </row>
    <row r="2335" spans="1:2" x14ac:dyDescent="0.25">
      <c r="A2335" s="9" t="s">
        <v>4161</v>
      </c>
      <c r="B2335" s="9" t="s">
        <v>4122</v>
      </c>
    </row>
    <row r="2336" spans="1:2" x14ac:dyDescent="0.25">
      <c r="A2336" s="9" t="s">
        <v>4160</v>
      </c>
      <c r="B2336" s="9" t="s">
        <v>4123</v>
      </c>
    </row>
    <row r="2337" spans="1:2" x14ac:dyDescent="0.25">
      <c r="A2337" s="9" t="s">
        <v>4159</v>
      </c>
      <c r="B2337" s="9" t="s">
        <v>4124</v>
      </c>
    </row>
    <row r="2338" spans="1:2" x14ac:dyDescent="0.25">
      <c r="A2338" s="9" t="s">
        <v>4158</v>
      </c>
      <c r="B2338" s="9" t="s">
        <v>4125</v>
      </c>
    </row>
    <row r="2339" spans="1:2" x14ac:dyDescent="0.25">
      <c r="A2339" s="9" t="s">
        <v>4157</v>
      </c>
      <c r="B2339" s="9" t="s">
        <v>4126</v>
      </c>
    </row>
    <row r="2340" spans="1:2" x14ac:dyDescent="0.25">
      <c r="A2340" s="9" t="s">
        <v>4156</v>
      </c>
      <c r="B2340" s="9" t="s">
        <v>4127</v>
      </c>
    </row>
    <row r="2341" spans="1:2" x14ac:dyDescent="0.25">
      <c r="A2341" s="9" t="s">
        <v>4155</v>
      </c>
      <c r="B2341" s="9" t="s">
        <v>4128</v>
      </c>
    </row>
    <row r="2342" spans="1:2" x14ac:dyDescent="0.25">
      <c r="A2342" s="9" t="s">
        <v>4154</v>
      </c>
      <c r="B2342" s="9" t="s">
        <v>4129</v>
      </c>
    </row>
    <row r="2343" spans="1:2" x14ac:dyDescent="0.25">
      <c r="A2343" s="9" t="s">
        <v>4153</v>
      </c>
      <c r="B2343" s="9" t="s">
        <v>4130</v>
      </c>
    </row>
    <row r="2344" spans="1:2" x14ac:dyDescent="0.25">
      <c r="A2344" s="9" t="s">
        <v>4152</v>
      </c>
      <c r="B2344" s="9" t="s">
        <v>4131</v>
      </c>
    </row>
    <row r="2345" spans="1:2" x14ac:dyDescent="0.25">
      <c r="A2345" s="9" t="s">
        <v>4151</v>
      </c>
      <c r="B2345" s="9" t="s">
        <v>4132</v>
      </c>
    </row>
    <row r="2346" spans="1:2" x14ac:dyDescent="0.25">
      <c r="A2346" s="9" t="s">
        <v>4150</v>
      </c>
      <c r="B2346" s="9" t="s">
        <v>4133</v>
      </c>
    </row>
    <row r="2347" spans="1:2" x14ac:dyDescent="0.25">
      <c r="A2347" s="9" t="s">
        <v>4149</v>
      </c>
      <c r="B2347" s="9" t="s">
        <v>4134</v>
      </c>
    </row>
    <row r="2348" spans="1:2" x14ac:dyDescent="0.25">
      <c r="A2348" s="9" t="s">
        <v>4148</v>
      </c>
      <c r="B2348" s="9" t="s">
        <v>4135</v>
      </c>
    </row>
    <row r="2349" spans="1:2" x14ac:dyDescent="0.25">
      <c r="A2349" s="9" t="s">
        <v>4147</v>
      </c>
      <c r="B2349" s="9" t="s">
        <v>4136</v>
      </c>
    </row>
    <row r="2350" spans="1:2" x14ac:dyDescent="0.25">
      <c r="A2350" s="9" t="s">
        <v>4146</v>
      </c>
      <c r="B2350" s="9" t="s">
        <v>4137</v>
      </c>
    </row>
    <row r="2351" spans="1:2" x14ac:dyDescent="0.25">
      <c r="A2351" s="9" t="s">
        <v>4145</v>
      </c>
      <c r="B2351" s="9" t="s">
        <v>4138</v>
      </c>
    </row>
    <row r="2352" spans="1:2" x14ac:dyDescent="0.25">
      <c r="A2352" s="9" t="s">
        <v>4144</v>
      </c>
      <c r="B2352" s="9" t="s">
        <v>4139</v>
      </c>
    </row>
    <row r="2353" spans="1:2" x14ac:dyDescent="0.25">
      <c r="A2353" s="9" t="s">
        <v>4143</v>
      </c>
      <c r="B2353" s="9" t="s">
        <v>4140</v>
      </c>
    </row>
    <row r="2354" spans="1:2" x14ac:dyDescent="0.25">
      <c r="A2354" s="9" t="s">
        <v>4142</v>
      </c>
      <c r="B2354" s="9" t="s">
        <v>4141</v>
      </c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BF874-A951-4C1E-85E8-321ADF0E87EA}">
  <dimension ref="B2:O36"/>
  <sheetViews>
    <sheetView workbookViewId="0">
      <selection activeCell="B6" sqref="B6"/>
    </sheetView>
  </sheetViews>
  <sheetFormatPr defaultColWidth="9.140625" defaultRowHeight="15" x14ac:dyDescent="0.25"/>
  <cols>
    <col min="1" max="1" customWidth="true" style="256" width="3.85546875" collapsed="false"/>
    <col min="2" max="2" customWidth="true" style="256" width="18.0" collapsed="false"/>
    <col min="3" max="3" customWidth="true" style="256" width="3.28515625" collapsed="false"/>
    <col min="4" max="4" customWidth="true" style="256" width="19.7109375" collapsed="false"/>
    <col min="5" max="5" customWidth="true" style="256" width="3.85546875" collapsed="false"/>
    <col min="6" max="6" customWidth="true" style="256" width="14.7109375" collapsed="false"/>
    <col min="7" max="7" customWidth="true" style="256" width="4.28515625" collapsed="false"/>
    <col min="8" max="8" customWidth="true" style="256" width="20.0" collapsed="false"/>
    <col min="9" max="11" style="256" width="9.140625" collapsed="false"/>
    <col min="12" max="12" bestFit="true" customWidth="true" style="256" width="15.28515625" collapsed="false"/>
    <col min="13" max="16384" style="256" width="9.140625" collapsed="false"/>
  </cols>
  <sheetData>
    <row r="2" spans="2:15" x14ac:dyDescent="0.25">
      <c r="B2" s="304" t="s">
        <v>8162</v>
      </c>
      <c r="C2" s="304"/>
      <c r="D2" s="304"/>
      <c r="E2" s="304"/>
      <c r="F2" s="304"/>
      <c r="G2" s="304"/>
      <c r="H2" s="304"/>
      <c r="I2" s="255"/>
      <c r="J2" s="255"/>
      <c r="K2" s="255"/>
      <c r="L2" s="255"/>
      <c r="M2" s="255"/>
      <c r="N2" s="255"/>
      <c r="O2" s="255"/>
    </row>
    <row r="3" spans="2:15" x14ac:dyDescent="0.25">
      <c r="B3" s="304"/>
      <c r="C3" s="304"/>
      <c r="D3" s="304"/>
      <c r="E3" s="304"/>
      <c r="F3" s="304"/>
      <c r="G3" s="304"/>
      <c r="H3" s="304"/>
      <c r="I3" s="255"/>
      <c r="J3" s="255"/>
      <c r="K3" s="255"/>
      <c r="L3" s="255"/>
      <c r="M3" s="255"/>
      <c r="N3" s="255"/>
      <c r="O3" s="255"/>
    </row>
    <row r="4" spans="2:15" x14ac:dyDescent="0.25">
      <c r="B4" s="257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2:15" x14ac:dyDescent="0.25">
      <c r="B5" s="304" t="s">
        <v>8163</v>
      </c>
      <c r="C5" s="304"/>
      <c r="D5" s="304"/>
      <c r="E5" s="304"/>
      <c r="F5" s="304"/>
      <c r="G5" s="304"/>
      <c r="H5" s="304"/>
      <c r="I5" s="255"/>
      <c r="J5" s="255"/>
      <c r="K5" s="255"/>
      <c r="L5" s="255"/>
      <c r="M5" s="255"/>
      <c r="N5" s="255"/>
      <c r="O5" s="255"/>
    </row>
    <row r="6" spans="2:15" x14ac:dyDescent="0.25">
      <c r="B6" s="304" t="s">
        <v>8164</v>
      </c>
      <c r="C6" s="304"/>
      <c r="D6" s="304"/>
      <c r="E6" s="304"/>
      <c r="F6" s="304"/>
      <c r="G6" s="304"/>
      <c r="H6" s="304"/>
      <c r="I6" s="255"/>
      <c r="J6" s="255"/>
      <c r="K6" s="255"/>
      <c r="L6" s="255"/>
      <c r="M6" s="255"/>
      <c r="N6" s="255"/>
      <c r="O6" s="255"/>
    </row>
    <row r="7" spans="2:15" x14ac:dyDescent="0.25">
      <c r="B7" s="257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</row>
    <row r="8" spans="2:15" x14ac:dyDescent="0.25">
      <c r="B8" s="258"/>
      <c r="C8" s="258"/>
      <c r="D8" s="258" t="s">
        <v>8165</v>
      </c>
      <c r="E8" s="258"/>
      <c r="F8" s="305" t="s">
        <v>8166</v>
      </c>
      <c r="G8" s="305"/>
      <c r="H8" s="305"/>
      <c r="I8" s="258"/>
      <c r="J8" s="258"/>
      <c r="K8" s="258"/>
      <c r="L8" s="258"/>
      <c r="M8" s="258"/>
      <c r="N8" s="258"/>
      <c r="O8" s="258"/>
    </row>
    <row r="9" spans="2:15" x14ac:dyDescent="0.25">
      <c r="B9" s="258"/>
      <c r="C9" s="258"/>
      <c r="D9" s="258" t="s">
        <v>8167</v>
      </c>
      <c r="E9" s="258"/>
      <c r="F9" s="258"/>
      <c r="G9" s="258"/>
      <c r="H9" s="258" t="s">
        <v>8168</v>
      </c>
      <c r="I9" s="258"/>
      <c r="J9" s="258"/>
      <c r="K9" s="258"/>
      <c r="L9" s="258"/>
      <c r="M9" s="258"/>
      <c r="N9" s="258"/>
      <c r="O9" s="258"/>
    </row>
    <row r="10" spans="2:15" x14ac:dyDescent="0.25">
      <c r="B10" s="259" t="s">
        <v>8169</v>
      </c>
      <c r="C10" s="260"/>
      <c r="D10" s="259" t="s">
        <v>8170</v>
      </c>
      <c r="E10" s="260"/>
      <c r="F10" s="259" t="s">
        <v>8171</v>
      </c>
      <c r="G10" s="260"/>
      <c r="H10" s="259" t="s">
        <v>8172</v>
      </c>
    </row>
    <row r="11" spans="2:15" x14ac:dyDescent="0.25">
      <c r="B11" s="261" t="s">
        <v>8173</v>
      </c>
      <c r="C11" s="260"/>
      <c r="D11" s="262" t="s">
        <v>8174</v>
      </c>
      <c r="E11" s="260"/>
      <c r="F11" s="261" t="s">
        <v>8175</v>
      </c>
      <c r="G11" s="261"/>
      <c r="H11" s="261" t="s">
        <v>8176</v>
      </c>
    </row>
    <row r="12" spans="2:15" x14ac:dyDescent="0.25">
      <c r="B12" s="261"/>
      <c r="C12" s="260"/>
      <c r="D12" s="262"/>
      <c r="E12" s="260"/>
      <c r="F12" s="261"/>
      <c r="G12" s="261"/>
      <c r="H12" s="261"/>
    </row>
    <row r="13" spans="2:15" x14ac:dyDescent="0.25">
      <c r="B13" s="261">
        <v>1998</v>
      </c>
      <c r="C13" s="260"/>
      <c r="D13" s="263">
        <v>21.18098630136986</v>
      </c>
      <c r="E13" s="264"/>
      <c r="F13" s="265">
        <v>32.332999999999998</v>
      </c>
      <c r="G13" s="266"/>
      <c r="H13" s="267">
        <f t="shared" ref="H13:H27" si="0">+F13/D13</f>
        <v>1.5265105949248876</v>
      </c>
    </row>
    <row r="14" spans="2:15" x14ac:dyDescent="0.25">
      <c r="B14" s="261">
        <v>1999</v>
      </c>
      <c r="C14" s="260"/>
      <c r="D14" s="263">
        <v>21.437964383561642</v>
      </c>
      <c r="E14" s="264"/>
      <c r="F14" s="265">
        <v>29.898000000000003</v>
      </c>
      <c r="G14" s="266"/>
      <c r="H14" s="267">
        <f t="shared" si="0"/>
        <v>1.3946286813931554</v>
      </c>
    </row>
    <row r="15" spans="2:15" x14ac:dyDescent="0.25">
      <c r="B15" s="261">
        <v>2000</v>
      </c>
      <c r="C15" s="260"/>
      <c r="D15" s="263">
        <v>21.086821917808219</v>
      </c>
      <c r="E15" s="264"/>
      <c r="F15" s="265">
        <v>30.47</v>
      </c>
      <c r="G15" s="266"/>
      <c r="H15" s="267">
        <f t="shared" si="0"/>
        <v>1.4449782958648458</v>
      </c>
    </row>
    <row r="16" spans="2:15" x14ac:dyDescent="0.25">
      <c r="B16" s="261">
        <v>2001</v>
      </c>
      <c r="C16" s="260"/>
      <c r="D16" s="263">
        <v>21.793273972602741</v>
      </c>
      <c r="E16" s="264"/>
      <c r="F16" s="265">
        <v>30.990000000000002</v>
      </c>
      <c r="G16" s="266"/>
      <c r="H16" s="267">
        <f t="shared" si="0"/>
        <v>1.4219983669713352</v>
      </c>
    </row>
    <row r="17" spans="2:9" x14ac:dyDescent="0.25">
      <c r="B17" s="260">
        <v>2002</v>
      </c>
      <c r="D17" s="263">
        <v>21.019295890410955</v>
      </c>
      <c r="E17" s="264"/>
      <c r="F17" s="265">
        <v>29.23</v>
      </c>
      <c r="G17" s="266"/>
      <c r="H17" s="267">
        <f t="shared" si="0"/>
        <v>1.3906269816266674</v>
      </c>
    </row>
    <row r="18" spans="2:9" x14ac:dyDescent="0.25">
      <c r="B18" s="260">
        <v>2003</v>
      </c>
      <c r="D18" s="263">
        <v>20.716621917808219</v>
      </c>
      <c r="E18" s="264"/>
      <c r="F18" s="265">
        <v>29.193000000000001</v>
      </c>
      <c r="G18" s="266"/>
      <c r="H18" s="267">
        <f t="shared" si="0"/>
        <v>1.4091583133496008</v>
      </c>
    </row>
    <row r="19" spans="2:9" x14ac:dyDescent="0.25">
      <c r="B19" s="260">
        <v>2004</v>
      </c>
      <c r="D19" s="263">
        <v>19.894189041095888</v>
      </c>
      <c r="E19" s="264"/>
      <c r="F19" s="265">
        <v>27.094000000000001</v>
      </c>
      <c r="G19" s="266"/>
      <c r="H19" s="267">
        <f t="shared" si="0"/>
        <v>1.3619052248891019</v>
      </c>
    </row>
    <row r="20" spans="2:9" x14ac:dyDescent="0.25">
      <c r="B20" s="260">
        <v>2005</v>
      </c>
      <c r="D20" s="263">
        <v>20.223865753424658</v>
      </c>
      <c r="E20" s="264"/>
      <c r="F20" s="265">
        <v>31.917999999999999</v>
      </c>
      <c r="G20" s="268" t="s">
        <v>8177</v>
      </c>
      <c r="H20" s="267">
        <f t="shared" si="0"/>
        <v>1.5782343686985307</v>
      </c>
    </row>
    <row r="21" spans="2:9" x14ac:dyDescent="0.25">
      <c r="B21" s="260">
        <v>2006</v>
      </c>
      <c r="D21" s="263">
        <v>19.515068493150686</v>
      </c>
      <c r="E21" s="264"/>
      <c r="F21" s="265">
        <v>30.829000000000001</v>
      </c>
      <c r="G21" s="266"/>
      <c r="H21" s="267">
        <f t="shared" si="0"/>
        <v>1.5797536150498386</v>
      </c>
    </row>
    <row r="22" spans="2:9" x14ac:dyDescent="0.25">
      <c r="B22" s="260">
        <v>2007</v>
      </c>
      <c r="D22" s="263">
        <v>20.049898630136987</v>
      </c>
      <c r="E22" s="264"/>
      <c r="F22" s="265">
        <v>28.146000000000001</v>
      </c>
      <c r="G22" s="266"/>
      <c r="H22" s="267">
        <f t="shared" si="0"/>
        <v>1.4037976210859127</v>
      </c>
    </row>
    <row r="23" spans="2:9" x14ac:dyDescent="0.25">
      <c r="B23" s="260">
        <v>2008</v>
      </c>
      <c r="D23" s="263">
        <v>19.561038356164385</v>
      </c>
      <c r="E23" s="264"/>
      <c r="F23" s="265">
        <v>29.352</v>
      </c>
      <c r="G23" s="266"/>
      <c r="H23" s="267">
        <f t="shared" si="0"/>
        <v>1.5005338400530324</v>
      </c>
    </row>
    <row r="24" spans="2:9" x14ac:dyDescent="0.25">
      <c r="B24" s="260">
        <v>2009</v>
      </c>
      <c r="D24" s="263">
        <v>18.958855</v>
      </c>
      <c r="E24" s="264"/>
      <c r="F24" s="265">
        <v>24.222000000000001</v>
      </c>
      <c r="G24" s="266"/>
      <c r="H24" s="267">
        <f t="shared" si="0"/>
        <v>1.27760880074245</v>
      </c>
    </row>
    <row r="25" spans="2:9" x14ac:dyDescent="0.25">
      <c r="B25" s="260">
        <v>2010</v>
      </c>
      <c r="D25" s="263">
        <v>19.646000000000001</v>
      </c>
      <c r="E25" s="269"/>
      <c r="F25" s="265">
        <v>25.62</v>
      </c>
      <c r="G25" s="270"/>
      <c r="H25" s="267">
        <f t="shared" si="0"/>
        <v>1.3040822559299603</v>
      </c>
    </row>
    <row r="26" spans="2:9" x14ac:dyDescent="0.25">
      <c r="B26" s="271">
        <v>2011</v>
      </c>
      <c r="C26" s="272"/>
      <c r="D26" s="273">
        <v>18.963000000000001</v>
      </c>
      <c r="E26" s="273"/>
      <c r="F26" s="274">
        <v>30.954000000000001</v>
      </c>
      <c r="G26" s="275"/>
      <c r="H26" s="276">
        <f t="shared" si="0"/>
        <v>1.6323366555924694</v>
      </c>
    </row>
    <row r="27" spans="2:9" x14ac:dyDescent="0.25">
      <c r="B27" s="260">
        <v>2012</v>
      </c>
      <c r="D27" s="263">
        <v>19.459</v>
      </c>
      <c r="E27" s="269"/>
      <c r="F27" s="265">
        <v>31.713000000000001</v>
      </c>
      <c r="G27" s="266"/>
      <c r="H27" s="267">
        <f t="shared" si="0"/>
        <v>1.6297343131712834</v>
      </c>
    </row>
    <row r="28" spans="2:9" x14ac:dyDescent="0.25">
      <c r="B28" s="260">
        <v>2013</v>
      </c>
      <c r="D28" s="263">
        <v>18.346802739726026</v>
      </c>
      <c r="E28" s="269"/>
      <c r="F28" s="265">
        <v>27.042999999999999</v>
      </c>
      <c r="G28" s="266"/>
      <c r="H28" s="267">
        <f t="shared" ref="H28:H34" si="1">+F28/D28</f>
        <v>1.473989794496686</v>
      </c>
    </row>
    <row r="29" spans="2:9" x14ac:dyDescent="0.25">
      <c r="B29" s="260">
        <v>2014</v>
      </c>
      <c r="D29" s="263">
        <v>17.561076712328767</v>
      </c>
      <c r="E29" s="269"/>
      <c r="F29" s="265">
        <v>24.103999999999999</v>
      </c>
      <c r="G29" s="266"/>
      <c r="H29" s="267">
        <f t="shared" si="1"/>
        <v>1.372580986624685</v>
      </c>
    </row>
    <row r="30" spans="2:9" x14ac:dyDescent="0.25">
      <c r="B30" s="260">
        <v>2015</v>
      </c>
      <c r="D30" s="263">
        <v>16.765060273972601</v>
      </c>
      <c r="E30" s="269"/>
      <c r="F30" s="265">
        <v>22.146000000000001</v>
      </c>
      <c r="G30" s="266"/>
      <c r="H30" s="267">
        <f t="shared" si="1"/>
        <v>1.3209615496808678</v>
      </c>
      <c r="I30" s="277"/>
    </row>
    <row r="31" spans="2:9" x14ac:dyDescent="0.25">
      <c r="B31" s="260">
        <v>2016</v>
      </c>
      <c r="D31" s="263">
        <v>16.487510928961751</v>
      </c>
      <c r="E31" s="269"/>
      <c r="F31" s="265">
        <v>21.824999999999999</v>
      </c>
      <c r="G31" s="266"/>
      <c r="H31" s="267">
        <f t="shared" si="1"/>
        <v>1.3237292211077467</v>
      </c>
      <c r="I31" s="277"/>
    </row>
    <row r="32" spans="2:9" x14ac:dyDescent="0.25">
      <c r="B32" s="260">
        <v>2017</v>
      </c>
      <c r="D32" s="263">
        <v>17.540427397260274</v>
      </c>
      <c r="E32" s="269"/>
      <c r="F32" s="265">
        <v>26.393000000000001</v>
      </c>
      <c r="G32" s="266"/>
      <c r="H32" s="267">
        <f t="shared" si="1"/>
        <v>1.5046953761299142</v>
      </c>
      <c r="I32" s="277"/>
    </row>
    <row r="33" spans="2:8" x14ac:dyDescent="0.25">
      <c r="B33" s="260">
        <v>2018</v>
      </c>
      <c r="D33" s="263">
        <v>17.486098630136986</v>
      </c>
      <c r="E33" s="269"/>
      <c r="F33" s="265">
        <v>24.904</v>
      </c>
      <c r="G33" s="266"/>
      <c r="H33" s="267">
        <f t="shared" si="1"/>
        <v>1.4242170610360387</v>
      </c>
    </row>
    <row r="34" spans="2:8" x14ac:dyDescent="0.25">
      <c r="B34" s="260">
        <v>2019</v>
      </c>
      <c r="D34" s="263">
        <v>17.456613698630136</v>
      </c>
      <c r="E34" s="269"/>
      <c r="F34" s="265">
        <v>25.59</v>
      </c>
      <c r="G34" s="266"/>
      <c r="H34" s="267">
        <f t="shared" si="1"/>
        <v>1.4659200485147994</v>
      </c>
    </row>
    <row r="35" spans="2:8" x14ac:dyDescent="0.25">
      <c r="B35" s="278"/>
      <c r="C35" s="278"/>
    </row>
    <row r="36" spans="2:8" x14ac:dyDescent="0.25">
      <c r="B36" s="256" t="s">
        <v>8178</v>
      </c>
    </row>
  </sheetData>
  <mergeCells count="5">
    <mergeCell ref="B2:H2"/>
    <mergeCell ref="B3:H3"/>
    <mergeCell ref="B5:H5"/>
    <mergeCell ref="B6:H6"/>
    <mergeCell ref="F8:H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T467"/>
  <sheetViews>
    <sheetView zoomScale="80" zoomScaleNormal="80" zoomScaleSheetLayoutView="8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2" max="2" customWidth="true" width="7.5703125" collapsed="false"/>
    <col min="4" max="4" customWidth="true" width="45.7109375" collapsed="false"/>
    <col min="5" max="5" customWidth="true" style="195" width="17.0" collapsed="false"/>
    <col min="6" max="6" customWidth="true" width="9.5703125" collapsed="false"/>
    <col min="7" max="7" bestFit="true" customWidth="true" width="25.7109375" collapsed="false"/>
    <col min="8" max="9" customWidth="true" width="17.42578125" collapsed="false"/>
    <col min="10" max="11" customWidth="true" width="15.7109375" collapsed="false"/>
    <col min="12" max="13" customWidth="true" width="16.42578125" collapsed="false"/>
    <col min="14" max="14" customWidth="true" width="14.5703125" collapsed="false"/>
    <col min="15" max="15" customWidth="true" width="15.7109375" collapsed="false"/>
    <col min="16" max="17" customWidth="true" width="14.5703125" collapsed="false"/>
    <col min="18" max="18" customWidth="true" width="16.42578125" collapsed="false"/>
    <col min="19" max="19" customWidth="true" width="15.42578125" collapsed="false"/>
    <col min="20" max="20" bestFit="true" customWidth="true" width="10.42578125" collapsed="false"/>
  </cols>
  <sheetData>
    <row r="2" spans="1:19" x14ac:dyDescent="0.25">
      <c r="A2" s="1" t="s">
        <v>7973</v>
      </c>
      <c r="B2" s="1"/>
      <c r="C2" s="1"/>
      <c r="D2" s="1"/>
      <c r="E2" s="201"/>
      <c r="L2" s="64"/>
    </row>
    <row r="3" spans="1:19" x14ac:dyDescent="0.25">
      <c r="A3" s="1" t="s">
        <v>57</v>
      </c>
      <c r="B3" s="1"/>
      <c r="C3" s="1"/>
      <c r="D3" s="1"/>
    </row>
    <row r="4" spans="1:19" x14ac:dyDescent="0.25">
      <c r="F4" s="36"/>
      <c r="H4" s="65" t="s">
        <v>6989</v>
      </c>
      <c r="I4" s="65"/>
      <c r="J4" s="65" t="s">
        <v>6990</v>
      </c>
      <c r="K4" s="65"/>
      <c r="L4" s="65"/>
      <c r="M4" s="65"/>
      <c r="N4" s="65"/>
      <c r="O4" s="65"/>
      <c r="P4" s="65"/>
      <c r="Q4" s="65"/>
    </row>
    <row r="5" spans="1:19" x14ac:dyDescent="0.25">
      <c r="A5" s="66"/>
      <c r="B5" s="66"/>
      <c r="C5" s="66"/>
      <c r="D5" s="66"/>
      <c r="E5" s="310" t="s">
        <v>7146</v>
      </c>
      <c r="F5" s="36" t="s">
        <v>6991</v>
      </c>
      <c r="G5" t="s">
        <v>6992</v>
      </c>
      <c r="H5" s="67" t="s">
        <v>6993</v>
      </c>
      <c r="I5" s="67" t="s">
        <v>6865</v>
      </c>
      <c r="J5" s="67" t="s">
        <v>6994</v>
      </c>
      <c r="K5" s="67" t="s">
        <v>6980</v>
      </c>
      <c r="L5" s="67" t="s">
        <v>6981</v>
      </c>
      <c r="M5" s="67" t="s">
        <v>6959</v>
      </c>
      <c r="N5" s="67" t="s">
        <v>28</v>
      </c>
      <c r="O5" s="67" t="s">
        <v>27</v>
      </c>
      <c r="P5" s="67" t="s">
        <v>6995</v>
      </c>
      <c r="Q5" s="67" t="s">
        <v>30</v>
      </c>
      <c r="R5" s="68" t="s">
        <v>6996</v>
      </c>
      <c r="S5" s="69" t="s">
        <v>6997</v>
      </c>
    </row>
    <row r="6" spans="1:19" x14ac:dyDescent="0.25">
      <c r="A6" s="4" t="s">
        <v>6998</v>
      </c>
      <c r="F6" s="36"/>
    </row>
    <row r="7" spans="1:19" x14ac:dyDescent="0.25">
      <c r="B7" t="s">
        <v>6999</v>
      </c>
      <c r="F7" s="36"/>
    </row>
    <row r="8" spans="1:19" x14ac:dyDescent="0.25">
      <c r="B8" s="70"/>
      <c r="C8" s="71" t="s">
        <v>7142</v>
      </c>
      <c r="D8" s="72"/>
      <c r="E8" s="306">
        <f>VLOOKUP($C8,'COSS Step 1'!$D$122:$U$145,6,FALSE)</f>
        <v>174784.38112377655</v>
      </c>
      <c r="F8" s="36" t="s">
        <v>7000</v>
      </c>
      <c r="G8" t="str">
        <f>INDEX('Allocator Summary'!$B$8:$B$28,MATCH($F8,'Allocator Summary'!$A$8:$A$28))</f>
        <v>Source of Supply</v>
      </c>
      <c r="H8" s="64">
        <f>INDEX('Allocator Summary'!C$8:C$28,MATCH($F8,'Allocator Summary'!$A$8:$A$28))*$E8</f>
        <v>174784.38112377655</v>
      </c>
      <c r="I8" s="64">
        <f>INDEX('Allocator Summary'!D$8:D$28,MATCH($F8,'Allocator Summary'!$A$8:$A$28))*$E8</f>
        <v>0</v>
      </c>
      <c r="J8" s="64">
        <f>INDEX('Allocator Summary'!E$8:E$28,MATCH($F8,'Allocator Summary'!$A$8:$A$28))*$E8</f>
        <v>0</v>
      </c>
      <c r="K8" s="64">
        <f>INDEX('Allocator Summary'!F$8:F$28,MATCH($F8,'Allocator Summary'!$A$8:$A$28))*$E8</f>
        <v>0</v>
      </c>
      <c r="L8" s="64">
        <f>INDEX('Allocator Summary'!G$8:G$28,MATCH($F8,'Allocator Summary'!$A$8:$A$28))*$E8</f>
        <v>0</v>
      </c>
      <c r="M8" s="64">
        <f>INDEX('Allocator Summary'!H$8:H$28,MATCH($F8,'Allocator Summary'!$A$8:$A$28))*$E8</f>
        <v>0</v>
      </c>
      <c r="N8" s="64">
        <f>INDEX('Allocator Summary'!I$8:I$28,MATCH($F8,'Allocator Summary'!$A$8:$A$28))*$E8</f>
        <v>0</v>
      </c>
      <c r="O8" s="64">
        <f>INDEX('Allocator Summary'!J$8:J$26,MATCH($F8,'Allocator Summary'!$A$8:$A$28))*$E8</f>
        <v>0</v>
      </c>
      <c r="P8" s="64">
        <f>INDEX('Allocator Summary'!K$8:K$26,MATCH($F8,'Allocator Summary'!$A$8:$A$28))*$E8</f>
        <v>0</v>
      </c>
      <c r="Q8" s="64">
        <f>INDEX('Allocator Summary'!L$8:L$28,MATCH($F8,'Allocator Summary'!$A$8:$A$28))*$E8</f>
        <v>0</v>
      </c>
      <c r="R8" s="64">
        <f>SUM(H8:Q8)</f>
        <v>174784.38112377655</v>
      </c>
      <c r="S8" s="64">
        <f t="shared" ref="S8:S14" si="0">R8-E8</f>
        <v>0</v>
      </c>
    </row>
    <row r="9" spans="1:19" x14ac:dyDescent="0.25">
      <c r="B9" s="70"/>
      <c r="C9" s="73" t="s">
        <v>7725</v>
      </c>
      <c r="D9" s="72"/>
      <c r="E9" s="306">
        <f>VLOOKUP($C9,'COSS Step 1'!$D$122:$U$145,6,FALSE)</f>
        <v>6756</v>
      </c>
      <c r="F9" s="36" t="s">
        <v>7000</v>
      </c>
      <c r="G9" t="str">
        <f>INDEX('Allocator Summary'!$B$8:$B$28,MATCH($F9,'Allocator Summary'!$A$8:$A$28))</f>
        <v>Source of Supply</v>
      </c>
      <c r="H9" s="64">
        <f>INDEX('Allocator Summary'!C$8:C$28,MATCH($F9,'Allocator Summary'!$A$8:$A$28))*$E9</f>
        <v>6756</v>
      </c>
      <c r="I9" s="64">
        <f>INDEX('Allocator Summary'!D$8:D$28,MATCH($F9,'Allocator Summary'!$A$8:$A$28))*$E9</f>
        <v>0</v>
      </c>
      <c r="J9" s="64">
        <f>INDEX('Allocator Summary'!E$8:E$28,MATCH($F9,'Allocator Summary'!$A$8:$A$28))*$E9</f>
        <v>0</v>
      </c>
      <c r="K9" s="64">
        <f>INDEX('Allocator Summary'!F$8:F$28,MATCH($F9,'Allocator Summary'!$A$8:$A$28))*$E9</f>
        <v>0</v>
      </c>
      <c r="L9" s="64">
        <f>INDEX('Allocator Summary'!G$8:G$28,MATCH($F9,'Allocator Summary'!$A$8:$A$28))*$E9</f>
        <v>0</v>
      </c>
      <c r="M9" s="64">
        <f>INDEX('Allocator Summary'!H$8:H$28,MATCH($F9,'Allocator Summary'!$A$8:$A$28))*$E9</f>
        <v>0</v>
      </c>
      <c r="N9" s="64">
        <f>INDEX('Allocator Summary'!I$8:I$28,MATCH($F9,'Allocator Summary'!$A$8:$A$28))*$E9</f>
        <v>0</v>
      </c>
      <c r="O9" s="64">
        <f>INDEX('Allocator Summary'!J$8:J$26,MATCH($F9,'Allocator Summary'!$A$8:$A$28))*$E9</f>
        <v>0</v>
      </c>
      <c r="P9" s="64">
        <f>INDEX('Allocator Summary'!K$8:K$26,MATCH($F9,'Allocator Summary'!$A$8:$A$28))*$E9</f>
        <v>0</v>
      </c>
      <c r="Q9" s="64">
        <f>INDEX('Allocator Summary'!L$8:L$28,MATCH($F9,'Allocator Summary'!$A$8:$A$28))*$E9</f>
        <v>0</v>
      </c>
      <c r="R9" s="64">
        <f t="shared" ref="R9:R14" si="1">SUM(H9:Q9)</f>
        <v>6756</v>
      </c>
      <c r="S9" s="64">
        <f t="shared" si="0"/>
        <v>0</v>
      </c>
    </row>
    <row r="10" spans="1:19" x14ac:dyDescent="0.25">
      <c r="B10" s="70"/>
      <c r="C10" s="71" t="s">
        <v>7737</v>
      </c>
      <c r="D10" s="72"/>
      <c r="E10" s="306">
        <f>VLOOKUP($C10,'COSS Step 1'!$D$122:$U$145,6,FALSE)</f>
        <v>77144</v>
      </c>
      <c r="F10" s="36" t="s">
        <v>7000</v>
      </c>
      <c r="G10" t="str">
        <f>INDEX('Allocator Summary'!$B$8:$B$28,MATCH($F10,'Allocator Summary'!$A$8:$A$28))</f>
        <v>Source of Supply</v>
      </c>
      <c r="H10" s="64">
        <f>INDEX('Allocator Summary'!C$8:C$28,MATCH($F10,'Allocator Summary'!$A$8:$A$28))*$E10</f>
        <v>77144</v>
      </c>
      <c r="I10" s="64">
        <f>INDEX('Allocator Summary'!D$8:D$28,MATCH($F10,'Allocator Summary'!$A$8:$A$28))*$E10</f>
        <v>0</v>
      </c>
      <c r="J10" s="64">
        <f>INDEX('Allocator Summary'!E$8:E$28,MATCH($F10,'Allocator Summary'!$A$8:$A$28))*$E10</f>
        <v>0</v>
      </c>
      <c r="K10" s="64">
        <f>INDEX('Allocator Summary'!F$8:F$28,MATCH($F10,'Allocator Summary'!$A$8:$A$28))*$E10</f>
        <v>0</v>
      </c>
      <c r="L10" s="64">
        <f>INDEX('Allocator Summary'!G$8:G$28,MATCH($F10,'Allocator Summary'!$A$8:$A$28))*$E10</f>
        <v>0</v>
      </c>
      <c r="M10" s="64">
        <f>INDEX('Allocator Summary'!H$8:H$28,MATCH($F10,'Allocator Summary'!$A$8:$A$28))*$E10</f>
        <v>0</v>
      </c>
      <c r="N10" s="64">
        <f>INDEX('Allocator Summary'!I$8:I$28,MATCH($F10,'Allocator Summary'!$A$8:$A$28))*$E10</f>
        <v>0</v>
      </c>
      <c r="O10" s="64">
        <f>INDEX('Allocator Summary'!J$8:J$26,MATCH($F10,'Allocator Summary'!$A$8:$A$28))*$E10</f>
        <v>0</v>
      </c>
      <c r="P10" s="64">
        <f>INDEX('Allocator Summary'!K$8:K$26,MATCH($F10,'Allocator Summary'!$A$8:$A$28))*$E10</f>
        <v>0</v>
      </c>
      <c r="Q10" s="64">
        <f>INDEX('Allocator Summary'!L$8:L$28,MATCH($F10,'Allocator Summary'!$A$8:$A$28))*$E10</f>
        <v>0</v>
      </c>
      <c r="R10" s="64">
        <f t="shared" si="1"/>
        <v>77144</v>
      </c>
      <c r="S10" s="64">
        <f t="shared" si="0"/>
        <v>0</v>
      </c>
    </row>
    <row r="11" spans="1:19" x14ac:dyDescent="0.25">
      <c r="B11" s="70"/>
      <c r="C11" s="71" t="s">
        <v>7767</v>
      </c>
      <c r="D11" s="72"/>
      <c r="E11" s="306">
        <f>VLOOKUP($C11,'COSS Step 1'!$D$122:$U$145,6,FALSE)</f>
        <v>11</v>
      </c>
      <c r="F11" s="36" t="s">
        <v>7000</v>
      </c>
      <c r="G11" t="str">
        <f>INDEX('Allocator Summary'!$B$8:$B$28,MATCH($F11,'Allocator Summary'!$A$8:$A$28))</f>
        <v>Source of Supply</v>
      </c>
      <c r="H11" s="64">
        <f>INDEX('Allocator Summary'!C$8:C$28,MATCH($F11,'Allocator Summary'!$A$8:$A$28))*$E11</f>
        <v>11</v>
      </c>
      <c r="I11" s="64">
        <f>INDEX('Allocator Summary'!D$8:D$28,MATCH($F11,'Allocator Summary'!$A$8:$A$28))*$E11</f>
        <v>0</v>
      </c>
      <c r="J11" s="64">
        <f>INDEX('Allocator Summary'!E$8:E$28,MATCH($F11,'Allocator Summary'!$A$8:$A$28))*$E11</f>
        <v>0</v>
      </c>
      <c r="K11" s="64">
        <f>INDEX('Allocator Summary'!F$8:F$28,MATCH($F11,'Allocator Summary'!$A$8:$A$28))*$E11</f>
        <v>0</v>
      </c>
      <c r="L11" s="64">
        <f>INDEX('Allocator Summary'!G$8:G$28,MATCH($F11,'Allocator Summary'!$A$8:$A$28))*$E11</f>
        <v>0</v>
      </c>
      <c r="M11" s="64">
        <f>INDEX('Allocator Summary'!H$8:H$28,MATCH($F11,'Allocator Summary'!$A$8:$A$28))*$E11</f>
        <v>0</v>
      </c>
      <c r="N11" s="64">
        <f>INDEX('Allocator Summary'!I$8:I$28,MATCH($F11,'Allocator Summary'!$A$8:$A$28))*$E11</f>
        <v>0</v>
      </c>
      <c r="O11" s="64">
        <f>INDEX('Allocator Summary'!J$8:J$26,MATCH($F11,'Allocator Summary'!$A$8:$A$28))*$E11</f>
        <v>0</v>
      </c>
      <c r="P11" s="64">
        <f>INDEX('Allocator Summary'!K$8:K$26,MATCH($F11,'Allocator Summary'!$A$8:$A$28))*$E11</f>
        <v>0</v>
      </c>
      <c r="Q11" s="64">
        <f>INDEX('Allocator Summary'!L$8:L$28,MATCH($F11,'Allocator Summary'!$A$8:$A$28))*$E11</f>
        <v>0</v>
      </c>
      <c r="R11" s="64">
        <f t="shared" si="1"/>
        <v>11</v>
      </c>
      <c r="S11" s="64">
        <f t="shared" si="0"/>
        <v>0</v>
      </c>
    </row>
    <row r="12" spans="1:19" x14ac:dyDescent="0.25">
      <c r="B12" s="70"/>
      <c r="C12" t="s">
        <v>7774</v>
      </c>
      <c r="E12" s="306">
        <f>VLOOKUP($C12,'COSS Step 1'!$D$122:$U$145,6,FALSE)</f>
        <v>987</v>
      </c>
      <c r="F12" s="36" t="s">
        <v>7000</v>
      </c>
      <c r="G12" t="str">
        <f>INDEX('Allocator Summary'!$B$8:$B$28,MATCH($F12,'Allocator Summary'!$A$8:$A$28))</f>
        <v>Source of Supply</v>
      </c>
      <c r="H12" s="64">
        <f>INDEX('Allocator Summary'!C$8:C$28,MATCH($F12,'Allocator Summary'!$A$8:$A$28))*$E12</f>
        <v>987</v>
      </c>
      <c r="I12" s="64">
        <f>INDEX('Allocator Summary'!D$8:D$28,MATCH($F12,'Allocator Summary'!$A$8:$A$28))*$E12</f>
        <v>0</v>
      </c>
      <c r="J12" s="64">
        <f>INDEX('Allocator Summary'!E$8:E$28,MATCH($F12,'Allocator Summary'!$A$8:$A$28))*$E12</f>
        <v>0</v>
      </c>
      <c r="K12" s="64">
        <f>INDEX('Allocator Summary'!F$8:F$28,MATCH($F12,'Allocator Summary'!$A$8:$A$28))*$E12</f>
        <v>0</v>
      </c>
      <c r="L12" s="64">
        <f>INDEX('Allocator Summary'!G$8:G$28,MATCH($F12,'Allocator Summary'!$A$8:$A$28))*$E12</f>
        <v>0</v>
      </c>
      <c r="M12" s="64">
        <f>INDEX('Allocator Summary'!H$8:H$28,MATCH($F12,'Allocator Summary'!$A$8:$A$28))*$E12</f>
        <v>0</v>
      </c>
      <c r="N12" s="64">
        <f>INDEX('Allocator Summary'!I$8:I$28,MATCH($F12,'Allocator Summary'!$A$8:$A$28))*$E12</f>
        <v>0</v>
      </c>
      <c r="O12" s="64">
        <f>INDEX('Allocator Summary'!J$8:J$26,MATCH($F12,'Allocator Summary'!$A$8:$A$28))*$E12</f>
        <v>0</v>
      </c>
      <c r="P12" s="64">
        <f>INDEX('Allocator Summary'!K$8:K$26,MATCH($F12,'Allocator Summary'!$A$8:$A$28))*$E12</f>
        <v>0</v>
      </c>
      <c r="Q12" s="64">
        <f>INDEX('Allocator Summary'!L$8:L$28,MATCH($F12,'Allocator Summary'!$A$8:$A$28))*$E12</f>
        <v>0</v>
      </c>
      <c r="R12" s="64">
        <f t="shared" si="1"/>
        <v>987</v>
      </c>
      <c r="S12" s="64">
        <f t="shared" si="0"/>
        <v>0</v>
      </c>
    </row>
    <row r="13" spans="1:19" x14ac:dyDescent="0.25">
      <c r="B13" s="70"/>
      <c r="C13" t="s">
        <v>7799</v>
      </c>
      <c r="E13" s="306">
        <f>VLOOKUP($C13,'COSS Step 1'!$D$122:$U$145,6,FALSE)</f>
        <v>2772</v>
      </c>
      <c r="F13" s="36" t="s">
        <v>7000</v>
      </c>
      <c r="G13" t="str">
        <f>INDEX('Allocator Summary'!$B$8:$B$28,MATCH($F13,'Allocator Summary'!$A$8:$A$28))</f>
        <v>Source of Supply</v>
      </c>
      <c r="H13" s="64">
        <f>INDEX('Allocator Summary'!C$8:C$28,MATCH($F13,'Allocator Summary'!$A$8:$A$28))*$E13</f>
        <v>2772</v>
      </c>
      <c r="I13" s="64">
        <f>INDEX('Allocator Summary'!D$8:D$28,MATCH($F13,'Allocator Summary'!$A$8:$A$28))*$E13</f>
        <v>0</v>
      </c>
      <c r="J13" s="64">
        <f>INDEX('Allocator Summary'!E$8:E$28,MATCH($F13,'Allocator Summary'!$A$8:$A$28))*$E13</f>
        <v>0</v>
      </c>
      <c r="K13" s="64">
        <f>INDEX('Allocator Summary'!F$8:F$28,MATCH($F13,'Allocator Summary'!$A$8:$A$28))*$E13</f>
        <v>0</v>
      </c>
      <c r="L13" s="64">
        <f>INDEX('Allocator Summary'!G$8:G$28,MATCH($F13,'Allocator Summary'!$A$8:$A$28))*$E13</f>
        <v>0</v>
      </c>
      <c r="M13" s="64">
        <f>INDEX('Allocator Summary'!H$8:H$28,MATCH($F13,'Allocator Summary'!$A$8:$A$28))*$E13</f>
        <v>0</v>
      </c>
      <c r="N13" s="64">
        <f>INDEX('Allocator Summary'!I$8:I$28,MATCH($F13,'Allocator Summary'!$A$8:$A$28))*$E13</f>
        <v>0</v>
      </c>
      <c r="O13" s="64">
        <f>INDEX('Allocator Summary'!J$8:J$26,MATCH($F13,'Allocator Summary'!$A$8:$A$28))*$E13</f>
        <v>0</v>
      </c>
      <c r="P13" s="64">
        <f>INDEX('Allocator Summary'!K$8:K$26,MATCH($F13,'Allocator Summary'!$A$8:$A$28))*$E13</f>
        <v>0</v>
      </c>
      <c r="Q13" s="64">
        <f>INDEX('Allocator Summary'!L$8:L$28,MATCH($F13,'Allocator Summary'!$A$8:$A$28))*$E13</f>
        <v>0</v>
      </c>
      <c r="R13" s="64">
        <f t="shared" si="1"/>
        <v>2772</v>
      </c>
      <c r="S13" s="64">
        <f t="shared" si="0"/>
        <v>0</v>
      </c>
    </row>
    <row r="14" spans="1:19" x14ac:dyDescent="0.25">
      <c r="B14" s="70"/>
      <c r="C14" s="66" t="s">
        <v>7145</v>
      </c>
      <c r="D14" s="66"/>
      <c r="E14" s="306">
        <f>VLOOKUP($C14,'COSS Step 1'!$D$122:$U$145,6,FALSE)</f>
        <v>2640</v>
      </c>
      <c r="F14" s="75" t="s">
        <v>7000</v>
      </c>
      <c r="G14" s="66" t="str">
        <f>INDEX('Allocator Summary'!$B$8:$B$28,MATCH($F14,'Allocator Summary'!$A$8:$A$28))</f>
        <v>Source of Supply</v>
      </c>
      <c r="H14" s="76">
        <f>INDEX('Allocator Summary'!C$8:C$28,MATCH($F14,'Allocator Summary'!$A$8:$A$28))*$E14</f>
        <v>2640</v>
      </c>
      <c r="I14" s="76">
        <f>INDEX('Allocator Summary'!D$8:D$28,MATCH($F14,'Allocator Summary'!$A$8:$A$28))*$E14</f>
        <v>0</v>
      </c>
      <c r="J14" s="76">
        <f>INDEX('Allocator Summary'!E$8:E$28,MATCH($F14,'Allocator Summary'!$A$8:$A$28))*$E14</f>
        <v>0</v>
      </c>
      <c r="K14" s="76">
        <f>INDEX('Allocator Summary'!F$8:F$28,MATCH($F14,'Allocator Summary'!$A$8:$A$28))*$E14</f>
        <v>0</v>
      </c>
      <c r="L14" s="76">
        <f>INDEX('Allocator Summary'!G$8:G$28,MATCH($F14,'Allocator Summary'!$A$8:$A$28))*$E14</f>
        <v>0</v>
      </c>
      <c r="M14" s="76">
        <f>INDEX('Allocator Summary'!H$8:H$28,MATCH($F14,'Allocator Summary'!$A$8:$A$28))*$E14</f>
        <v>0</v>
      </c>
      <c r="N14" s="76">
        <f>INDEX('Allocator Summary'!I$8:I$28,MATCH($F14,'Allocator Summary'!$A$8:$A$28))*$E14</f>
        <v>0</v>
      </c>
      <c r="O14" s="76">
        <f>INDEX('Allocator Summary'!J$8:J$26,MATCH($F14,'Allocator Summary'!$A$8:$A$28))*$E14</f>
        <v>0</v>
      </c>
      <c r="P14" s="76">
        <f>INDEX('Allocator Summary'!K$8:K$26,MATCH($F14,'Allocator Summary'!$A$8:$A$28))*$E14</f>
        <v>0</v>
      </c>
      <c r="Q14" s="76">
        <f>INDEX('Allocator Summary'!L$8:L$28,MATCH($F14,'Allocator Summary'!$A$8:$A$28))*$E14</f>
        <v>0</v>
      </c>
      <c r="R14" s="76">
        <f t="shared" si="1"/>
        <v>2640</v>
      </c>
      <c r="S14" s="76">
        <f t="shared" si="0"/>
        <v>0</v>
      </c>
    </row>
    <row r="15" spans="1:19" x14ac:dyDescent="0.25">
      <c r="E15" s="187">
        <f>SUM(E8:E14)</f>
        <v>265094.38112377655</v>
      </c>
      <c r="H15" s="64">
        <f t="shared" ref="H15:S15" si="2">SUM(H8:H14)</f>
        <v>265094.38112377655</v>
      </c>
      <c r="I15" s="64">
        <f t="shared" si="2"/>
        <v>0</v>
      </c>
      <c r="J15" s="64">
        <f t="shared" si="2"/>
        <v>0</v>
      </c>
      <c r="K15" s="64">
        <f t="shared" si="2"/>
        <v>0</v>
      </c>
      <c r="L15" s="64">
        <f t="shared" si="2"/>
        <v>0</v>
      </c>
      <c r="M15" s="64">
        <f t="shared" si="2"/>
        <v>0</v>
      </c>
      <c r="N15" s="64">
        <f t="shared" si="2"/>
        <v>0</v>
      </c>
      <c r="O15" s="64">
        <f t="shared" si="2"/>
        <v>0</v>
      </c>
      <c r="P15" s="64">
        <f t="shared" si="2"/>
        <v>0</v>
      </c>
      <c r="Q15" s="64">
        <f t="shared" si="2"/>
        <v>0</v>
      </c>
      <c r="R15" s="64">
        <f t="shared" si="2"/>
        <v>265094.38112377655</v>
      </c>
      <c r="S15" s="64">
        <f t="shared" si="2"/>
        <v>0</v>
      </c>
    </row>
    <row r="16" spans="1:19" x14ac:dyDescent="0.25">
      <c r="B16" t="s">
        <v>8</v>
      </c>
      <c r="E16" s="311"/>
    </row>
    <row r="17" spans="1:19" x14ac:dyDescent="0.25">
      <c r="B17" s="70"/>
      <c r="C17" t="s">
        <v>7619</v>
      </c>
      <c r="E17" s="306">
        <f>VLOOKUP($C17,'COSS Step 1'!$D$149:$U$150,6,FALSE)</f>
        <v>0</v>
      </c>
      <c r="F17" s="36" t="s">
        <v>7000</v>
      </c>
      <c r="G17" t="str">
        <f>INDEX('Allocator Summary'!$B$8:$B$28,MATCH($F17,'Allocator Summary'!$A$8:$A$28))</f>
        <v>Source of Supply</v>
      </c>
      <c r="H17" s="64">
        <f>INDEX('Allocator Summary'!C$8:C$28,MATCH($F17,'Allocator Summary'!$A$8:$A$28))*$E17</f>
        <v>0</v>
      </c>
      <c r="I17" s="64">
        <f>INDEX('Allocator Summary'!D$8:D$28,MATCH($F17,'Allocator Summary'!$A$8:$A$28))*$E17</f>
        <v>0</v>
      </c>
      <c r="J17" s="64">
        <f>INDEX('Allocator Summary'!E$8:E$28,MATCH($F17,'Allocator Summary'!$A$8:$A$28))*$E17</f>
        <v>0</v>
      </c>
      <c r="K17" s="64">
        <f>INDEX('Allocator Summary'!F$8:F$28,MATCH($F17,'Allocator Summary'!$A$8:$A$28))*$E17</f>
        <v>0</v>
      </c>
      <c r="L17" s="64">
        <f>INDEX('Allocator Summary'!G$8:G$28,MATCH($F17,'Allocator Summary'!$A$8:$A$28))*$E17</f>
        <v>0</v>
      </c>
      <c r="M17" s="64">
        <f>INDEX('Allocator Summary'!H$8:H$28,MATCH($F17,'Allocator Summary'!$A$8:$A$28))*$E17</f>
        <v>0</v>
      </c>
      <c r="N17" s="64">
        <f>INDEX('Allocator Summary'!I$8:I$28,MATCH($F17,'Allocator Summary'!$A$8:$A$28))*$E17</f>
        <v>0</v>
      </c>
      <c r="O17" s="64">
        <f>INDEX('Allocator Summary'!J$8:J$26,MATCH($F17,'Allocator Summary'!$A$8:$A$28))*$E17</f>
        <v>0</v>
      </c>
      <c r="P17" s="64">
        <f>INDEX('Allocator Summary'!K$8:K$26,MATCH($F17,'Allocator Summary'!$A$8:$A$28))*$E17</f>
        <v>0</v>
      </c>
      <c r="Q17" s="64">
        <f>INDEX('Allocator Summary'!L$8:L$28,MATCH($F17,'Allocator Summary'!$A$8:$A$28))*$E17</f>
        <v>0</v>
      </c>
      <c r="R17" s="64">
        <f t="shared" ref="R17:R18" si="3">SUM(H17:Q17)</f>
        <v>0</v>
      </c>
      <c r="S17" s="64">
        <f>R17-E17</f>
        <v>0</v>
      </c>
    </row>
    <row r="18" spans="1:19" x14ac:dyDescent="0.25">
      <c r="B18" s="70"/>
      <c r="C18" s="66" t="s">
        <v>7868</v>
      </c>
      <c r="D18" s="66"/>
      <c r="E18" s="306">
        <f>VLOOKUP($C18,'COSS Step 1'!$D$149:$U$150,6,FALSE)</f>
        <v>40212</v>
      </c>
      <c r="F18" s="75" t="s">
        <v>7000</v>
      </c>
      <c r="G18" s="66" t="str">
        <f>INDEX('Allocator Summary'!$B$8:$B$28,MATCH($F18,'Allocator Summary'!$A$8:$A$28))</f>
        <v>Source of Supply</v>
      </c>
      <c r="H18" s="76">
        <f>INDEX('Allocator Summary'!C$8:C$28,MATCH($F18,'Allocator Summary'!$A$8:$A$28))*$E18</f>
        <v>40212</v>
      </c>
      <c r="I18" s="76">
        <f>INDEX('Allocator Summary'!D$8:D$28,MATCH($F18,'Allocator Summary'!$A$8:$A$28))*$E18</f>
        <v>0</v>
      </c>
      <c r="J18" s="76">
        <f>INDEX('Allocator Summary'!E$8:E$28,MATCH($F18,'Allocator Summary'!$A$8:$A$28))*$E18</f>
        <v>0</v>
      </c>
      <c r="K18" s="76">
        <f>INDEX('Allocator Summary'!F$8:F$28,MATCH($F18,'Allocator Summary'!$A$8:$A$28))*$E18</f>
        <v>0</v>
      </c>
      <c r="L18" s="76">
        <f>INDEX('Allocator Summary'!G$8:G$28,MATCH($F18,'Allocator Summary'!$A$8:$A$28))*$E18</f>
        <v>0</v>
      </c>
      <c r="M18" s="76">
        <f>INDEX('Allocator Summary'!H$8:H$28,MATCH($F18,'Allocator Summary'!$A$8:$A$28))*$E18</f>
        <v>0</v>
      </c>
      <c r="N18" s="76">
        <f>INDEX('Allocator Summary'!I$8:I$28,MATCH($F18,'Allocator Summary'!$A$8:$A$28))*$E18</f>
        <v>0</v>
      </c>
      <c r="O18" s="76">
        <f>INDEX('Allocator Summary'!J$8:J$26,MATCH($F18,'Allocator Summary'!$A$8:$A$28))*$E18</f>
        <v>0</v>
      </c>
      <c r="P18" s="76">
        <f>INDEX('Allocator Summary'!K$8:K$26,MATCH($F18,'Allocator Summary'!$A$8:$A$28))*$E18</f>
        <v>0</v>
      </c>
      <c r="Q18" s="76">
        <f>INDEX('Allocator Summary'!L$8:L$28,MATCH($F18,'Allocator Summary'!$A$8:$A$28))*$E18</f>
        <v>0</v>
      </c>
      <c r="R18" s="76">
        <f t="shared" si="3"/>
        <v>40212</v>
      </c>
      <c r="S18" s="76">
        <f>R18-E18</f>
        <v>0</v>
      </c>
    </row>
    <row r="19" spans="1:19" x14ac:dyDescent="0.25">
      <c r="E19" s="187">
        <f>SUM(E17:E18)</f>
        <v>40212</v>
      </c>
      <c r="H19" s="3">
        <f t="shared" ref="H19:S19" si="4">SUM(H17:H18)</f>
        <v>40212</v>
      </c>
      <c r="I19" s="3">
        <f t="shared" si="4"/>
        <v>0</v>
      </c>
      <c r="J19" s="3">
        <f t="shared" si="4"/>
        <v>0</v>
      </c>
      <c r="K19" s="3">
        <f t="shared" si="4"/>
        <v>0</v>
      </c>
      <c r="L19" s="3">
        <f t="shared" si="4"/>
        <v>0</v>
      </c>
      <c r="M19" s="3">
        <f t="shared" si="4"/>
        <v>0</v>
      </c>
      <c r="N19" s="3">
        <f t="shared" si="4"/>
        <v>0</v>
      </c>
      <c r="O19" s="3">
        <f t="shared" si="4"/>
        <v>0</v>
      </c>
      <c r="P19" s="3">
        <f t="shared" si="4"/>
        <v>0</v>
      </c>
      <c r="Q19" s="3">
        <f t="shared" si="4"/>
        <v>0</v>
      </c>
      <c r="R19" s="3">
        <f t="shared" si="4"/>
        <v>40212</v>
      </c>
      <c r="S19" s="3">
        <f t="shared" si="4"/>
        <v>0</v>
      </c>
    </row>
    <row r="20" spans="1:19" x14ac:dyDescent="0.25">
      <c r="E20" s="312"/>
    </row>
    <row r="21" spans="1:19" x14ac:dyDescent="0.25">
      <c r="C21" s="1" t="s">
        <v>7001</v>
      </c>
      <c r="D21" s="1"/>
      <c r="E21" s="313">
        <f>E15+E19</f>
        <v>305306.38112377655</v>
      </c>
      <c r="H21" s="77">
        <f t="shared" ref="H21:S21" si="5">H15+H19</f>
        <v>305306.38112377655</v>
      </c>
      <c r="I21" s="77">
        <f t="shared" si="5"/>
        <v>0</v>
      </c>
      <c r="J21" s="77">
        <f t="shared" si="5"/>
        <v>0</v>
      </c>
      <c r="K21" s="77">
        <f t="shared" si="5"/>
        <v>0</v>
      </c>
      <c r="L21" s="77">
        <f t="shared" si="5"/>
        <v>0</v>
      </c>
      <c r="M21" s="77">
        <f t="shared" si="5"/>
        <v>0</v>
      </c>
      <c r="N21" s="77">
        <f t="shared" si="5"/>
        <v>0</v>
      </c>
      <c r="O21" s="77">
        <f t="shared" si="5"/>
        <v>0</v>
      </c>
      <c r="P21" s="77">
        <f t="shared" si="5"/>
        <v>0</v>
      </c>
      <c r="Q21" s="77">
        <f t="shared" si="5"/>
        <v>0</v>
      </c>
      <c r="R21" s="77">
        <f t="shared" si="5"/>
        <v>305306.38112377655</v>
      </c>
      <c r="S21" s="77">
        <f t="shared" si="5"/>
        <v>0</v>
      </c>
    </row>
    <row r="23" spans="1:19" x14ac:dyDescent="0.25">
      <c r="A23" s="4" t="s">
        <v>7002</v>
      </c>
    </row>
    <row r="24" spans="1:19" x14ac:dyDescent="0.25">
      <c r="B24" t="s">
        <v>6999</v>
      </c>
    </row>
    <row r="25" spans="1:19" x14ac:dyDescent="0.25">
      <c r="B25" s="70"/>
      <c r="C25" t="s">
        <v>7142</v>
      </c>
      <c r="E25" s="306">
        <f>VLOOKUP($C25,'COSS Step 1'!$D$122:$U$145,8,FALSE)</f>
        <v>1058388.400414746</v>
      </c>
      <c r="F25" s="36" t="s">
        <v>7003</v>
      </c>
      <c r="G25" t="str">
        <f>INDEX('Allocator Summary'!$B$8:$B$28,MATCH($F25,'Allocator Summary'!$A$8:$A$28))</f>
        <v>Pumping</v>
      </c>
      <c r="H25" s="64">
        <f>INDEX('Allocator Summary'!C$8:C$28,MATCH($F25,'Allocator Summary'!$A$8:$A$28))*$E25</f>
        <v>0</v>
      </c>
      <c r="I25" s="64">
        <f>INDEX('Allocator Summary'!D$8:D$28,MATCH($F25,'Allocator Summary'!$A$8:$A$28))*$E25</f>
        <v>1058388.400414746</v>
      </c>
      <c r="J25" s="64">
        <f>INDEX('Allocator Summary'!E$8:E$28,MATCH($F25,'Allocator Summary'!$A$8:$A$28))*$E25</f>
        <v>0</v>
      </c>
      <c r="K25" s="64">
        <f>INDEX('Allocator Summary'!F$8:F$28,MATCH($F25,'Allocator Summary'!$A$8:$A$28))*$E25</f>
        <v>0</v>
      </c>
      <c r="L25" s="64">
        <f>INDEX('Allocator Summary'!G$8:G$28,MATCH($F25,'Allocator Summary'!$A$8:$A$28))*$E25</f>
        <v>0</v>
      </c>
      <c r="M25" s="64">
        <f>INDEX('Allocator Summary'!H$8:H$28,MATCH($F25,'Allocator Summary'!$A$8:$A$28))*$E25</f>
        <v>0</v>
      </c>
      <c r="N25" s="64">
        <f>INDEX('Allocator Summary'!I$8:I$28,MATCH($F25,'Allocator Summary'!$A$8:$A$28))*$E25</f>
        <v>0</v>
      </c>
      <c r="O25" s="64">
        <f>INDEX('Allocator Summary'!J$8:J$26,MATCH($F25,'Allocator Summary'!$A$8:$A$28))*$E25</f>
        <v>0</v>
      </c>
      <c r="P25" s="64">
        <f>INDEX('Allocator Summary'!K$8:K$26,MATCH($F25,'Allocator Summary'!$A$8:$A$28))*$E25</f>
        <v>0</v>
      </c>
      <c r="Q25" s="64">
        <f>INDEX('Allocator Summary'!L$8:L$28,MATCH($F25,'Allocator Summary'!$A$8:$A$28))*$E25</f>
        <v>0</v>
      </c>
      <c r="R25" s="64">
        <f t="shared" ref="R25:R31" si="6">SUM(H25:Q25)</f>
        <v>1058388.400414746</v>
      </c>
      <c r="S25" s="64">
        <f t="shared" ref="S25:S31" si="7">R25-E25</f>
        <v>0</v>
      </c>
    </row>
    <row r="26" spans="1:19" x14ac:dyDescent="0.25">
      <c r="B26" s="70"/>
      <c r="C26" s="74" t="s">
        <v>7143</v>
      </c>
      <c r="D26" s="72"/>
      <c r="E26" s="306">
        <f>VLOOKUP($C26,'COSS Step 1'!$D$122:$U$145,8,FALSE)</f>
        <v>1001323.78</v>
      </c>
      <c r="F26" s="36" t="s">
        <v>7003</v>
      </c>
      <c r="G26" t="str">
        <f>INDEX('Allocator Summary'!$B$8:$B$28,MATCH($F26,'Allocator Summary'!$A$8:$A$28))</f>
        <v>Pumping</v>
      </c>
      <c r="H26" s="64">
        <f>INDEX('Allocator Summary'!C$8:C$28,MATCH($F26,'Allocator Summary'!$A$8:$A$28))*$E26</f>
        <v>0</v>
      </c>
      <c r="I26" s="64">
        <f>INDEX('Allocator Summary'!D$8:D$28,MATCH($F26,'Allocator Summary'!$A$8:$A$28))*$E26</f>
        <v>1001323.78</v>
      </c>
      <c r="J26" s="64">
        <f>INDEX('Allocator Summary'!E$8:E$28,MATCH($F26,'Allocator Summary'!$A$8:$A$28))*$E26</f>
        <v>0</v>
      </c>
      <c r="K26" s="64">
        <f>INDEX('Allocator Summary'!F$8:F$28,MATCH($F26,'Allocator Summary'!$A$8:$A$28))*$E26</f>
        <v>0</v>
      </c>
      <c r="L26" s="64">
        <f>INDEX('Allocator Summary'!G$8:G$28,MATCH($F26,'Allocator Summary'!$A$8:$A$28))*$E26</f>
        <v>0</v>
      </c>
      <c r="M26" s="64">
        <f>INDEX('Allocator Summary'!H$8:H$28,MATCH($F26,'Allocator Summary'!$A$8:$A$28))*$E26</f>
        <v>0</v>
      </c>
      <c r="N26" s="64">
        <f>INDEX('Allocator Summary'!I$8:I$28,MATCH($F26,'Allocator Summary'!$A$8:$A$28))*$E26</f>
        <v>0</v>
      </c>
      <c r="O26" s="64">
        <f>INDEX('Allocator Summary'!J$8:J$26,MATCH($F26,'Allocator Summary'!$A$8:$A$28))*$E26</f>
        <v>0</v>
      </c>
      <c r="P26" s="64">
        <f>INDEX('Allocator Summary'!K$8:K$26,MATCH($F26,'Allocator Summary'!$A$8:$A$28))*$E26</f>
        <v>0</v>
      </c>
      <c r="Q26" s="64">
        <f>INDEX('Allocator Summary'!L$8:L$28,MATCH($F26,'Allocator Summary'!$A$8:$A$28))*$E26</f>
        <v>0</v>
      </c>
      <c r="R26" s="64">
        <f t="shared" ref="R26:R29" si="8">SUM(H26:Q26)</f>
        <v>1001323.78</v>
      </c>
      <c r="S26" s="64">
        <f t="shared" si="7"/>
        <v>0</v>
      </c>
    </row>
    <row r="27" spans="1:19" x14ac:dyDescent="0.25">
      <c r="B27" s="70"/>
      <c r="C27" s="74" t="s">
        <v>7691</v>
      </c>
      <c r="D27" s="72"/>
      <c r="E27" s="306">
        <f>VLOOKUP($C27,'COSS Step 1'!$D$122:$U$145,8,FALSE)</f>
        <v>353</v>
      </c>
      <c r="F27" s="36" t="s">
        <v>7003</v>
      </c>
      <c r="G27" t="str">
        <f>INDEX('Allocator Summary'!$B$8:$B$28,MATCH($F27,'Allocator Summary'!$A$8:$A$28))</f>
        <v>Pumping</v>
      </c>
      <c r="H27" s="64">
        <f>INDEX('Allocator Summary'!C$8:C$28,MATCH($F27,'Allocator Summary'!$A$8:$A$28))*$E27</f>
        <v>0</v>
      </c>
      <c r="I27" s="64">
        <f>INDEX('Allocator Summary'!D$8:D$28,MATCH($F27,'Allocator Summary'!$A$8:$A$28))*$E27</f>
        <v>353</v>
      </c>
      <c r="J27" s="64">
        <f>INDEX('Allocator Summary'!E$8:E$28,MATCH($F27,'Allocator Summary'!$A$8:$A$28))*$E27</f>
        <v>0</v>
      </c>
      <c r="K27" s="64">
        <f>INDEX('Allocator Summary'!F$8:F$28,MATCH($F27,'Allocator Summary'!$A$8:$A$28))*$E27</f>
        <v>0</v>
      </c>
      <c r="L27" s="64">
        <f>INDEX('Allocator Summary'!G$8:G$28,MATCH($F27,'Allocator Summary'!$A$8:$A$28))*$E27</f>
        <v>0</v>
      </c>
      <c r="M27" s="64">
        <f>INDEX('Allocator Summary'!H$8:H$28,MATCH($F27,'Allocator Summary'!$A$8:$A$28))*$E27</f>
        <v>0</v>
      </c>
      <c r="N27" s="64">
        <f>INDEX('Allocator Summary'!I$8:I$28,MATCH($F27,'Allocator Summary'!$A$8:$A$28))*$E27</f>
        <v>0</v>
      </c>
      <c r="O27" s="64">
        <f>INDEX('Allocator Summary'!J$8:J$26,MATCH($F27,'Allocator Summary'!$A$8:$A$28))*$E27</f>
        <v>0</v>
      </c>
      <c r="P27" s="64">
        <f>INDEX('Allocator Summary'!K$8:K$26,MATCH($F27,'Allocator Summary'!$A$8:$A$28))*$E27</f>
        <v>0</v>
      </c>
      <c r="Q27" s="64">
        <f>INDEX('Allocator Summary'!L$8:L$28,MATCH($F27,'Allocator Summary'!$A$8:$A$28))*$E27</f>
        <v>0</v>
      </c>
      <c r="R27" s="64">
        <f t="shared" ref="R27" si="9">SUM(H27:Q27)</f>
        <v>353</v>
      </c>
      <c r="S27" s="64">
        <f t="shared" si="7"/>
        <v>0</v>
      </c>
    </row>
    <row r="28" spans="1:19" x14ac:dyDescent="0.25">
      <c r="B28" s="70"/>
      <c r="C28" s="74" t="s">
        <v>7737</v>
      </c>
      <c r="D28" s="72"/>
      <c r="E28" s="306">
        <f>VLOOKUP($C28,'COSS Step 1'!$D$122:$U$145,8,FALSE)</f>
        <v>348</v>
      </c>
      <c r="F28" s="36" t="s">
        <v>7003</v>
      </c>
      <c r="G28" t="str">
        <f>INDEX('Allocator Summary'!$B$8:$B$28,MATCH($F28,'Allocator Summary'!$A$8:$A$28))</f>
        <v>Pumping</v>
      </c>
      <c r="H28" s="64">
        <f>INDEX('Allocator Summary'!C$8:C$28,MATCH($F28,'Allocator Summary'!$A$8:$A$28))*$E28</f>
        <v>0</v>
      </c>
      <c r="I28" s="64">
        <f>INDEX('Allocator Summary'!D$8:D$28,MATCH($F28,'Allocator Summary'!$A$8:$A$28))*$E28</f>
        <v>348</v>
      </c>
      <c r="J28" s="64">
        <f>INDEX('Allocator Summary'!E$8:E$28,MATCH($F28,'Allocator Summary'!$A$8:$A$28))*$E28</f>
        <v>0</v>
      </c>
      <c r="K28" s="64">
        <f>INDEX('Allocator Summary'!F$8:F$28,MATCH($F28,'Allocator Summary'!$A$8:$A$28))*$E28</f>
        <v>0</v>
      </c>
      <c r="L28" s="64">
        <f>INDEX('Allocator Summary'!G$8:G$28,MATCH($F28,'Allocator Summary'!$A$8:$A$28))*$E28</f>
        <v>0</v>
      </c>
      <c r="M28" s="64">
        <f>INDEX('Allocator Summary'!H$8:H$28,MATCH($F28,'Allocator Summary'!$A$8:$A$28))*$E28</f>
        <v>0</v>
      </c>
      <c r="N28" s="64">
        <f>INDEX('Allocator Summary'!I$8:I$28,MATCH($F28,'Allocator Summary'!$A$8:$A$28))*$E28</f>
        <v>0</v>
      </c>
      <c r="O28" s="64">
        <f>INDEX('Allocator Summary'!J$8:J$26,MATCH($F28,'Allocator Summary'!$A$8:$A$28))*$E28</f>
        <v>0</v>
      </c>
      <c r="P28" s="64">
        <f>INDEX('Allocator Summary'!K$8:K$26,MATCH($F28,'Allocator Summary'!$A$8:$A$28))*$E28</f>
        <v>0</v>
      </c>
      <c r="Q28" s="64">
        <f>INDEX('Allocator Summary'!L$8:L$28,MATCH($F28,'Allocator Summary'!$A$8:$A$28))*$E28</f>
        <v>0</v>
      </c>
      <c r="R28" s="64">
        <f t="shared" si="8"/>
        <v>348</v>
      </c>
      <c r="S28" s="64">
        <f t="shared" si="7"/>
        <v>0</v>
      </c>
    </row>
    <row r="29" spans="1:19" x14ac:dyDescent="0.25">
      <c r="B29" s="70"/>
      <c r="C29" s="74" t="s">
        <v>7774</v>
      </c>
      <c r="D29" s="72"/>
      <c r="E29" s="306">
        <f>VLOOKUP($C29,'COSS Step 1'!$D$122:$U$145,8,FALSE)</f>
        <v>128</v>
      </c>
      <c r="F29" s="36" t="s">
        <v>7003</v>
      </c>
      <c r="G29" t="str">
        <f>INDEX('Allocator Summary'!$B$8:$B$28,MATCH($F29,'Allocator Summary'!$A$8:$A$28))</f>
        <v>Pumping</v>
      </c>
      <c r="H29" s="64">
        <f>INDEX('Allocator Summary'!C$8:C$28,MATCH($F29,'Allocator Summary'!$A$8:$A$28))*$E29</f>
        <v>0</v>
      </c>
      <c r="I29" s="64">
        <f>INDEX('Allocator Summary'!D$8:D$28,MATCH($F29,'Allocator Summary'!$A$8:$A$28))*$E29</f>
        <v>128</v>
      </c>
      <c r="J29" s="64">
        <f>INDEX('Allocator Summary'!E$8:E$28,MATCH($F29,'Allocator Summary'!$A$8:$A$28))*$E29</f>
        <v>0</v>
      </c>
      <c r="K29" s="64">
        <f>INDEX('Allocator Summary'!F$8:F$28,MATCH($F29,'Allocator Summary'!$A$8:$A$28))*$E29</f>
        <v>0</v>
      </c>
      <c r="L29" s="64">
        <f>INDEX('Allocator Summary'!G$8:G$28,MATCH($F29,'Allocator Summary'!$A$8:$A$28))*$E29</f>
        <v>0</v>
      </c>
      <c r="M29" s="64">
        <f>INDEX('Allocator Summary'!H$8:H$28,MATCH($F29,'Allocator Summary'!$A$8:$A$28))*$E29</f>
        <v>0</v>
      </c>
      <c r="N29" s="64">
        <f>INDEX('Allocator Summary'!I$8:I$28,MATCH($F29,'Allocator Summary'!$A$8:$A$28))*$E29</f>
        <v>0</v>
      </c>
      <c r="O29" s="64">
        <f>INDEX('Allocator Summary'!J$8:J$26,MATCH($F29,'Allocator Summary'!$A$8:$A$28))*$E29</f>
        <v>0</v>
      </c>
      <c r="P29" s="64">
        <f>INDEX('Allocator Summary'!K$8:K$26,MATCH($F29,'Allocator Summary'!$A$8:$A$28))*$E29</f>
        <v>0</v>
      </c>
      <c r="Q29" s="64">
        <f>INDEX('Allocator Summary'!L$8:L$28,MATCH($F29,'Allocator Summary'!$A$8:$A$28))*$E29</f>
        <v>0</v>
      </c>
      <c r="R29" s="64">
        <f t="shared" si="8"/>
        <v>128</v>
      </c>
      <c r="S29" s="64">
        <f t="shared" si="7"/>
        <v>0</v>
      </c>
    </row>
    <row r="30" spans="1:19" x14ac:dyDescent="0.25">
      <c r="B30" s="70"/>
      <c r="C30" s="74" t="s">
        <v>7799</v>
      </c>
      <c r="E30" s="306">
        <f>VLOOKUP($C30,'COSS Step 1'!$D$122:$U$145,8,FALSE)</f>
        <v>28848</v>
      </c>
      <c r="F30" s="36" t="s">
        <v>7003</v>
      </c>
      <c r="G30" t="str">
        <f>INDEX('Allocator Summary'!$B$8:$B$28,MATCH($F30,'Allocator Summary'!$A$8:$A$28))</f>
        <v>Pumping</v>
      </c>
      <c r="H30" s="64">
        <f>INDEX('Allocator Summary'!C$8:C$28,MATCH($F30,'Allocator Summary'!$A$8:$A$28))*$E30</f>
        <v>0</v>
      </c>
      <c r="I30" s="64">
        <f>INDEX('Allocator Summary'!D$8:D$28,MATCH($F30,'Allocator Summary'!$A$8:$A$28))*$E30</f>
        <v>28848</v>
      </c>
      <c r="J30" s="64">
        <f>INDEX('Allocator Summary'!E$8:E$28,MATCH($F30,'Allocator Summary'!$A$8:$A$28))*$E30</f>
        <v>0</v>
      </c>
      <c r="K30" s="64">
        <f>INDEX('Allocator Summary'!F$8:F$28,MATCH($F30,'Allocator Summary'!$A$8:$A$28))*$E30</f>
        <v>0</v>
      </c>
      <c r="L30" s="64">
        <f>INDEX('Allocator Summary'!G$8:G$28,MATCH($F30,'Allocator Summary'!$A$8:$A$28))*$E30</f>
        <v>0</v>
      </c>
      <c r="M30" s="64">
        <f>INDEX('Allocator Summary'!H$8:H$28,MATCH($F30,'Allocator Summary'!$A$8:$A$28))*$E30</f>
        <v>0</v>
      </c>
      <c r="N30" s="64">
        <f>INDEX('Allocator Summary'!I$8:I$28,MATCH($F30,'Allocator Summary'!$A$8:$A$28))*$E30</f>
        <v>0</v>
      </c>
      <c r="O30" s="64">
        <f>INDEX('Allocator Summary'!J$8:J$26,MATCH($F30,'Allocator Summary'!$A$8:$A$28))*$E30</f>
        <v>0</v>
      </c>
      <c r="P30" s="64">
        <f>INDEX('Allocator Summary'!K$8:K$26,MATCH($F30,'Allocator Summary'!$A$8:$A$28))*$E30</f>
        <v>0</v>
      </c>
      <c r="Q30" s="64">
        <f>INDEX('Allocator Summary'!L$8:L$28,MATCH($F30,'Allocator Summary'!$A$8:$A$28))*$E30</f>
        <v>0</v>
      </c>
      <c r="R30" s="64">
        <f t="shared" si="6"/>
        <v>28848</v>
      </c>
      <c r="S30" s="64">
        <f t="shared" si="7"/>
        <v>0</v>
      </c>
    </row>
    <row r="31" spans="1:19" x14ac:dyDescent="0.25">
      <c r="B31" s="70"/>
      <c r="C31" s="66" t="s">
        <v>7145</v>
      </c>
      <c r="D31" s="78"/>
      <c r="E31" s="306">
        <f>VLOOKUP($C31,'COSS Step 1'!$D$122:$U$145,8,FALSE)</f>
        <v>84</v>
      </c>
      <c r="F31" s="75" t="s">
        <v>7003</v>
      </c>
      <c r="G31" s="66" t="str">
        <f>INDEX('Allocator Summary'!$B$8:$B$28,MATCH($F31,'Allocator Summary'!$A$8:$A$28))</f>
        <v>Pumping</v>
      </c>
      <c r="H31" s="76">
        <f>INDEX('Allocator Summary'!C$8:C$28,MATCH($F31,'Allocator Summary'!$A$8:$A$28))*$E31</f>
        <v>0</v>
      </c>
      <c r="I31" s="76">
        <f>INDEX('Allocator Summary'!D$8:D$28,MATCH($F31,'Allocator Summary'!$A$8:$A$28))*$E31</f>
        <v>84</v>
      </c>
      <c r="J31" s="76">
        <f>INDEX('Allocator Summary'!E$8:E$28,MATCH($F31,'Allocator Summary'!$A$8:$A$28))*$E31</f>
        <v>0</v>
      </c>
      <c r="K31" s="76">
        <f>INDEX('Allocator Summary'!F$8:F$28,MATCH($F31,'Allocator Summary'!$A$8:$A$28))*$E31</f>
        <v>0</v>
      </c>
      <c r="L31" s="76">
        <f>INDEX('Allocator Summary'!G$8:G$28,MATCH($F31,'Allocator Summary'!$A$8:$A$28))*$E31</f>
        <v>0</v>
      </c>
      <c r="M31" s="76">
        <f>INDEX('Allocator Summary'!H$8:H$28,MATCH($F31,'Allocator Summary'!$A$8:$A$28))*$E31</f>
        <v>0</v>
      </c>
      <c r="N31" s="76">
        <f>INDEX('Allocator Summary'!I$8:I$28,MATCH($F31,'Allocator Summary'!$A$8:$A$28))*$E31</f>
        <v>0</v>
      </c>
      <c r="O31" s="76">
        <f>INDEX('Allocator Summary'!J$8:J$26,MATCH($F31,'Allocator Summary'!$A$8:$A$28))*$E31</f>
        <v>0</v>
      </c>
      <c r="P31" s="76">
        <f>INDEX('Allocator Summary'!K$8:K$26,MATCH($F31,'Allocator Summary'!$A$8:$A$28))*$E31</f>
        <v>0</v>
      </c>
      <c r="Q31" s="76">
        <f>INDEX('Allocator Summary'!L$8:L$28,MATCH($F31,'Allocator Summary'!$A$8:$A$28))*$E31</f>
        <v>0</v>
      </c>
      <c r="R31" s="76">
        <f t="shared" si="6"/>
        <v>84</v>
      </c>
      <c r="S31" s="76">
        <f t="shared" si="7"/>
        <v>0</v>
      </c>
    </row>
    <row r="32" spans="1:19" x14ac:dyDescent="0.25">
      <c r="E32" s="187">
        <f>SUM(E25:E31)</f>
        <v>2089473.180414746</v>
      </c>
      <c r="H32" s="3">
        <f t="shared" ref="H32:S32" si="10">SUM(H25:H31)</f>
        <v>0</v>
      </c>
      <c r="I32" s="3">
        <f t="shared" si="10"/>
        <v>2089473.180414746</v>
      </c>
      <c r="J32" s="3">
        <f t="shared" si="10"/>
        <v>0</v>
      </c>
      <c r="K32" s="3">
        <f t="shared" si="10"/>
        <v>0</v>
      </c>
      <c r="L32" s="3">
        <f t="shared" si="10"/>
        <v>0</v>
      </c>
      <c r="M32" s="3">
        <f t="shared" si="10"/>
        <v>0</v>
      </c>
      <c r="N32" s="3">
        <f t="shared" si="10"/>
        <v>0</v>
      </c>
      <c r="O32" s="3">
        <f t="shared" si="10"/>
        <v>0</v>
      </c>
      <c r="P32" s="3">
        <f t="shared" si="10"/>
        <v>0</v>
      </c>
      <c r="Q32" s="3">
        <f t="shared" si="10"/>
        <v>0</v>
      </c>
      <c r="R32" s="3">
        <f t="shared" si="10"/>
        <v>2089473.180414746</v>
      </c>
      <c r="S32" s="3">
        <f t="shared" si="10"/>
        <v>0</v>
      </c>
    </row>
    <row r="33" spans="1:19" x14ac:dyDescent="0.25">
      <c r="E33" s="311"/>
    </row>
    <row r="34" spans="1:19" x14ac:dyDescent="0.25">
      <c r="B34" t="s">
        <v>8</v>
      </c>
    </row>
    <row r="35" spans="1:19" x14ac:dyDescent="0.25">
      <c r="B35" s="70"/>
      <c r="C35" t="s">
        <v>7619</v>
      </c>
      <c r="E35" s="306">
        <f>VLOOKUP($C35,'COSS Step 1'!$D$149:$U$150,8,FALSE)</f>
        <v>42626.58</v>
      </c>
      <c r="F35" s="36" t="s">
        <v>7003</v>
      </c>
      <c r="G35" t="str">
        <f>INDEX('Allocator Summary'!$B$8:$B$28,MATCH($F35,'Allocator Summary'!$A$8:$A$28))</f>
        <v>Pumping</v>
      </c>
      <c r="H35" s="64">
        <f>INDEX('Allocator Summary'!C$8:C$28,MATCH($F35,'Allocator Summary'!$A$8:$A$28))*$E35</f>
        <v>0</v>
      </c>
      <c r="I35" s="64">
        <f>INDEX('Allocator Summary'!D$8:D$28,MATCH($F35,'Allocator Summary'!$A$8:$A$28))*$E35</f>
        <v>42626.58</v>
      </c>
      <c r="J35" s="64">
        <f>INDEX('Allocator Summary'!E$8:E$28,MATCH($F35,'Allocator Summary'!$A$8:$A$28))*$E35</f>
        <v>0</v>
      </c>
      <c r="K35" s="64">
        <f>INDEX('Allocator Summary'!F$8:F$28,MATCH($F35,'Allocator Summary'!$A$8:$A$28))*$E35</f>
        <v>0</v>
      </c>
      <c r="L35" s="64">
        <f>INDEX('Allocator Summary'!G$8:G$28,MATCH($F35,'Allocator Summary'!$A$8:$A$28))*$E35</f>
        <v>0</v>
      </c>
      <c r="M35" s="64">
        <f>INDEX('Allocator Summary'!H$8:H$28,MATCH($F35,'Allocator Summary'!$A$8:$A$28))*$E35</f>
        <v>0</v>
      </c>
      <c r="N35" s="64">
        <f>INDEX('Allocator Summary'!I$8:I$28,MATCH($F35,'Allocator Summary'!$A$8:$A$28))*$E35</f>
        <v>0</v>
      </c>
      <c r="O35" s="64">
        <f>INDEX('Allocator Summary'!J$8:J$26,MATCH($F35,'Allocator Summary'!$A$8:$A$28))*$E35</f>
        <v>0</v>
      </c>
      <c r="P35" s="64">
        <f>INDEX('Allocator Summary'!K$8:K$26,MATCH($F35,'Allocator Summary'!$A$8:$A$28))*$E35</f>
        <v>0</v>
      </c>
      <c r="Q35" s="64">
        <f>INDEX('Allocator Summary'!L$8:L$28,MATCH($F35,'Allocator Summary'!$A$8:$A$28))*$E35</f>
        <v>0</v>
      </c>
      <c r="R35" s="64">
        <f t="shared" ref="R35" si="11">SUM(H35:Q35)</f>
        <v>42626.58</v>
      </c>
      <c r="S35" s="64">
        <f>R35-E35</f>
        <v>0</v>
      </c>
    </row>
    <row r="36" spans="1:19" x14ac:dyDescent="0.25">
      <c r="B36" s="70"/>
      <c r="C36" s="66" t="s">
        <v>7868</v>
      </c>
      <c r="D36" s="66"/>
      <c r="E36" s="306">
        <f>VLOOKUP($C36,'COSS Step 1'!$D$149:$U$150,8,FALSE)</f>
        <v>3312</v>
      </c>
      <c r="F36" s="75" t="s">
        <v>7003</v>
      </c>
      <c r="G36" s="66" t="str">
        <f>INDEX('Allocator Summary'!$B$8:$B$28,MATCH($F36,'Allocator Summary'!$A$8:$A$28))</f>
        <v>Pumping</v>
      </c>
      <c r="H36" s="76">
        <f>INDEX('Allocator Summary'!C$8:C$28,MATCH($F36,'Allocator Summary'!$A$8:$A$28))*$E36</f>
        <v>0</v>
      </c>
      <c r="I36" s="76">
        <f>INDEX('Allocator Summary'!D$8:D$28,MATCH($F36,'Allocator Summary'!$A$8:$A$28))*$E36</f>
        <v>3312</v>
      </c>
      <c r="J36" s="76">
        <f>INDEX('Allocator Summary'!E$8:E$28,MATCH($F36,'Allocator Summary'!$A$8:$A$28))*$E36</f>
        <v>0</v>
      </c>
      <c r="K36" s="76">
        <f>INDEX('Allocator Summary'!F$8:F$28,MATCH($F36,'Allocator Summary'!$A$8:$A$28))*$E36</f>
        <v>0</v>
      </c>
      <c r="L36" s="76">
        <f>INDEX('Allocator Summary'!G$8:G$28,MATCH($F36,'Allocator Summary'!$A$8:$A$28))*$E36</f>
        <v>0</v>
      </c>
      <c r="M36" s="76">
        <f>INDEX('Allocator Summary'!H$8:H$28,MATCH($F36,'Allocator Summary'!$A$8:$A$28))*$E36</f>
        <v>0</v>
      </c>
      <c r="N36" s="76">
        <f>INDEX('Allocator Summary'!I$8:I$28,MATCH($F36,'Allocator Summary'!$A$8:$A$28))*$E36</f>
        <v>0</v>
      </c>
      <c r="O36" s="76">
        <f>INDEX('Allocator Summary'!J$8:J$26,MATCH($F36,'Allocator Summary'!$A$8:$A$28))*$E36</f>
        <v>0</v>
      </c>
      <c r="P36" s="76">
        <f>INDEX('Allocator Summary'!K$8:K$26,MATCH($F36,'Allocator Summary'!$A$8:$A$28))*$E36</f>
        <v>0</v>
      </c>
      <c r="Q36" s="76">
        <f>INDEX('Allocator Summary'!L$8:L$28,MATCH($F36,'Allocator Summary'!$A$8:$A$28))*$E36</f>
        <v>0</v>
      </c>
      <c r="R36" s="76">
        <f t="shared" ref="R36" si="12">SUM(H36:Q36)</f>
        <v>3312</v>
      </c>
      <c r="S36" s="76">
        <f>R36-E36</f>
        <v>0</v>
      </c>
    </row>
    <row r="37" spans="1:19" x14ac:dyDescent="0.25">
      <c r="E37" s="187">
        <f>SUM(E35:E36)</f>
        <v>45938.58</v>
      </c>
      <c r="H37" s="3">
        <f t="shared" ref="H37:S37" si="13">SUM(H35:H36)</f>
        <v>0</v>
      </c>
      <c r="I37" s="3">
        <f t="shared" si="13"/>
        <v>45938.58</v>
      </c>
      <c r="J37" s="3">
        <f t="shared" si="13"/>
        <v>0</v>
      </c>
      <c r="K37" s="3">
        <f t="shared" si="13"/>
        <v>0</v>
      </c>
      <c r="L37" s="3">
        <f t="shared" si="13"/>
        <v>0</v>
      </c>
      <c r="M37" s="3">
        <f t="shared" si="13"/>
        <v>0</v>
      </c>
      <c r="N37" s="3">
        <f t="shared" si="13"/>
        <v>0</v>
      </c>
      <c r="O37" s="3">
        <f t="shared" si="13"/>
        <v>0</v>
      </c>
      <c r="P37" s="3">
        <f t="shared" si="13"/>
        <v>0</v>
      </c>
      <c r="Q37" s="3">
        <f t="shared" si="13"/>
        <v>0</v>
      </c>
      <c r="R37" s="3">
        <f t="shared" si="13"/>
        <v>45938.58</v>
      </c>
      <c r="S37" s="3">
        <f t="shared" si="13"/>
        <v>0</v>
      </c>
    </row>
    <row r="38" spans="1:19" x14ac:dyDescent="0.25">
      <c r="E38" s="3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C39" s="1" t="s">
        <v>7004</v>
      </c>
      <c r="D39" s="1"/>
      <c r="E39" s="313">
        <f>E32+E37</f>
        <v>2135411.7604147461</v>
      </c>
      <c r="H39" s="77">
        <f t="shared" ref="H39:S39" si="14">H32+H37</f>
        <v>0</v>
      </c>
      <c r="I39" s="77">
        <f t="shared" si="14"/>
        <v>2135411.7604147461</v>
      </c>
      <c r="J39" s="77">
        <f t="shared" si="14"/>
        <v>0</v>
      </c>
      <c r="K39" s="77">
        <f t="shared" si="14"/>
        <v>0</v>
      </c>
      <c r="L39" s="77">
        <f t="shared" si="14"/>
        <v>0</v>
      </c>
      <c r="M39" s="77">
        <f t="shared" si="14"/>
        <v>0</v>
      </c>
      <c r="N39" s="77">
        <f t="shared" si="14"/>
        <v>0</v>
      </c>
      <c r="O39" s="77">
        <f t="shared" si="14"/>
        <v>0</v>
      </c>
      <c r="P39" s="77">
        <f t="shared" si="14"/>
        <v>0</v>
      </c>
      <c r="Q39" s="77">
        <f t="shared" si="14"/>
        <v>0</v>
      </c>
      <c r="R39" s="77">
        <f t="shared" si="14"/>
        <v>2135411.7604147461</v>
      </c>
      <c r="S39" s="77">
        <f t="shared" si="14"/>
        <v>0</v>
      </c>
    </row>
    <row r="41" spans="1:19" x14ac:dyDescent="0.25">
      <c r="A41" s="4" t="s">
        <v>9</v>
      </c>
    </row>
    <row r="42" spans="1:19" x14ac:dyDescent="0.25">
      <c r="B42" t="s">
        <v>6999</v>
      </c>
    </row>
    <row r="43" spans="1:19" x14ac:dyDescent="0.25">
      <c r="B43" s="70"/>
      <c r="C43" t="s">
        <v>12</v>
      </c>
      <c r="D43" s="74"/>
      <c r="E43" s="306">
        <f>VLOOKUP($C43,'COSS Step 1'!$D$122:$U$145,7,FALSE)</f>
        <v>1510528</v>
      </c>
      <c r="F43" s="36" t="s">
        <v>2209</v>
      </c>
      <c r="G43" t="str">
        <f>INDEX('Allocator Summary'!$B$8:$B$28,MATCH($F43,'Allocator Summary'!$A$8:$A$28))</f>
        <v>Water Treatment</v>
      </c>
      <c r="H43" s="64">
        <f>INDEX('Allocator Summary'!C$8:C$28,MATCH($F43,'Allocator Summary'!$A$8:$A$28))*$E43</f>
        <v>0</v>
      </c>
      <c r="I43" s="64">
        <f>INDEX('Allocator Summary'!D$8:D$28,MATCH($F43,'Allocator Summary'!$A$8:$A$28))*$E43</f>
        <v>0</v>
      </c>
      <c r="J43" s="64">
        <f>INDEX('Allocator Summary'!E$8:E$28,MATCH($F43,'Allocator Summary'!$A$8:$A$28))*$E43</f>
        <v>1510528</v>
      </c>
      <c r="K43" s="64">
        <f>INDEX('Allocator Summary'!F$8:F$28,MATCH($F43,'Allocator Summary'!$A$8:$A$28))*$E43</f>
        <v>0</v>
      </c>
      <c r="L43" s="64">
        <f>INDEX('Allocator Summary'!G$8:G$28,MATCH($F43,'Allocator Summary'!$A$8:$A$28))*$E43</f>
        <v>0</v>
      </c>
      <c r="M43" s="64">
        <f>INDEX('Allocator Summary'!H$8:H$28,MATCH($F43,'Allocator Summary'!$A$8:$A$28))*$E43</f>
        <v>0</v>
      </c>
      <c r="N43" s="64">
        <f>INDEX('Allocator Summary'!I$8:I$28,MATCH($F43,'Allocator Summary'!$A$8:$A$28))*$E43</f>
        <v>0</v>
      </c>
      <c r="O43" s="64">
        <f>INDEX('Allocator Summary'!J$8:J$26,MATCH($F43,'Allocator Summary'!$A$8:$A$28))*$E43</f>
        <v>0</v>
      </c>
      <c r="P43" s="64">
        <f>INDEX('Allocator Summary'!K$8:K$26,MATCH($F43,'Allocator Summary'!$A$8:$A$28))*$E43</f>
        <v>0</v>
      </c>
      <c r="Q43" s="64">
        <f>INDEX('Allocator Summary'!L$8:L$28,MATCH($F43,'Allocator Summary'!$A$8:$A$28))*$E43</f>
        <v>0</v>
      </c>
      <c r="R43" s="64">
        <f t="shared" ref="R43" si="15">SUM(H43:Q43)</f>
        <v>1510528</v>
      </c>
      <c r="S43" s="64">
        <f t="shared" ref="S43:S51" si="16">R43-E43</f>
        <v>0</v>
      </c>
    </row>
    <row r="44" spans="1:19" x14ac:dyDescent="0.25">
      <c r="B44" s="70"/>
      <c r="C44" t="s">
        <v>11</v>
      </c>
      <c r="D44" s="72"/>
      <c r="E44" s="306">
        <f>VLOOKUP($C44,'COSS Step 1'!$D$122:$U$145,7,FALSE)</f>
        <v>45024</v>
      </c>
      <c r="F44" s="36" t="s">
        <v>2209</v>
      </c>
      <c r="G44" t="str">
        <f>INDEX('Allocator Summary'!$B$8:$B$28,MATCH($F44,'Allocator Summary'!$A$8:$A$28))</f>
        <v>Water Treatment</v>
      </c>
      <c r="H44" s="64">
        <f>INDEX('Allocator Summary'!C$8:C$28,MATCH($F44,'Allocator Summary'!$A$8:$A$28))*$E44</f>
        <v>0</v>
      </c>
      <c r="I44" s="64">
        <f>INDEX('Allocator Summary'!D$8:D$28,MATCH($F44,'Allocator Summary'!$A$8:$A$28))*$E44</f>
        <v>0</v>
      </c>
      <c r="J44" s="64">
        <f>INDEX('Allocator Summary'!E$8:E$28,MATCH($F44,'Allocator Summary'!$A$8:$A$28))*$E44</f>
        <v>45024</v>
      </c>
      <c r="K44" s="64">
        <f>INDEX('Allocator Summary'!F$8:F$28,MATCH($F44,'Allocator Summary'!$A$8:$A$28))*$E44</f>
        <v>0</v>
      </c>
      <c r="L44" s="64">
        <f>INDEX('Allocator Summary'!G$8:G$28,MATCH($F44,'Allocator Summary'!$A$8:$A$28))*$E44</f>
        <v>0</v>
      </c>
      <c r="M44" s="64">
        <f>INDEX('Allocator Summary'!H$8:H$28,MATCH($F44,'Allocator Summary'!$A$8:$A$28))*$E44</f>
        <v>0</v>
      </c>
      <c r="N44" s="64">
        <f>INDEX('Allocator Summary'!I$8:I$28,MATCH($F44,'Allocator Summary'!$A$8:$A$28))*$E44</f>
        <v>0</v>
      </c>
      <c r="O44" s="64">
        <f>INDEX('Allocator Summary'!J$8:J$26,MATCH($F44,'Allocator Summary'!$A$8:$A$28))*$E44</f>
        <v>0</v>
      </c>
      <c r="P44" s="64">
        <f>INDEX('Allocator Summary'!K$8:K$26,MATCH($F44,'Allocator Summary'!$A$8:$A$28))*$E44</f>
        <v>0</v>
      </c>
      <c r="Q44" s="64">
        <f>INDEX('Allocator Summary'!L$8:L$28,MATCH($F44,'Allocator Summary'!$A$8:$A$28))*$E44</f>
        <v>0</v>
      </c>
      <c r="R44" s="64">
        <f t="shared" ref="R44:R51" si="17">SUM(H44:Q44)</f>
        <v>45024</v>
      </c>
      <c r="S44" s="64">
        <f t="shared" si="16"/>
        <v>0</v>
      </c>
    </row>
    <row r="45" spans="1:19" x14ac:dyDescent="0.25">
      <c r="B45" s="70"/>
      <c r="C45" t="s">
        <v>7143</v>
      </c>
      <c r="D45" s="74"/>
      <c r="E45" s="306">
        <f>VLOOKUP($C45,'COSS Step 1'!$D$122:$U$145,7,FALSE)</f>
        <v>310088.64000000007</v>
      </c>
      <c r="F45" s="36" t="s">
        <v>2209</v>
      </c>
      <c r="G45" t="str">
        <f>INDEX('Allocator Summary'!$B$8:$B$28,MATCH($F45,'Allocator Summary'!$A$8:$A$28))</f>
        <v>Water Treatment</v>
      </c>
      <c r="H45" s="64">
        <f>INDEX('Allocator Summary'!C$8:C$28,MATCH($F45,'Allocator Summary'!$A$8:$A$28))*$E45</f>
        <v>0</v>
      </c>
      <c r="I45" s="64">
        <f>INDEX('Allocator Summary'!D$8:D$28,MATCH($F45,'Allocator Summary'!$A$8:$A$28))*$E45</f>
        <v>0</v>
      </c>
      <c r="J45" s="64">
        <f>INDEX('Allocator Summary'!E$8:E$28,MATCH($F45,'Allocator Summary'!$A$8:$A$28))*$E45</f>
        <v>310088.64000000007</v>
      </c>
      <c r="K45" s="64">
        <f>INDEX('Allocator Summary'!F$8:F$28,MATCH($F45,'Allocator Summary'!$A$8:$A$28))*$E45</f>
        <v>0</v>
      </c>
      <c r="L45" s="64">
        <f>INDEX('Allocator Summary'!G$8:G$28,MATCH($F45,'Allocator Summary'!$A$8:$A$28))*$E45</f>
        <v>0</v>
      </c>
      <c r="M45" s="64">
        <f>INDEX('Allocator Summary'!H$8:H$28,MATCH($F45,'Allocator Summary'!$A$8:$A$28))*$E45</f>
        <v>0</v>
      </c>
      <c r="N45" s="64">
        <f>INDEX('Allocator Summary'!I$8:I$28,MATCH($F45,'Allocator Summary'!$A$8:$A$28))*$E45</f>
        <v>0</v>
      </c>
      <c r="O45" s="64">
        <f>INDEX('Allocator Summary'!J$8:J$26,MATCH($F45,'Allocator Summary'!$A$8:$A$28))*$E45</f>
        <v>0</v>
      </c>
      <c r="P45" s="64">
        <f>INDEX('Allocator Summary'!K$8:K$26,MATCH($F45,'Allocator Summary'!$A$8:$A$28))*$E45</f>
        <v>0</v>
      </c>
      <c r="Q45" s="64">
        <f>INDEX('Allocator Summary'!L$8:L$28,MATCH($F45,'Allocator Summary'!$A$8:$A$28))*$E45</f>
        <v>0</v>
      </c>
      <c r="R45" s="64">
        <f t="shared" si="17"/>
        <v>310088.64000000007</v>
      </c>
      <c r="S45" s="64">
        <f t="shared" si="16"/>
        <v>0</v>
      </c>
    </row>
    <row r="46" spans="1:19" x14ac:dyDescent="0.25">
      <c r="B46" s="70"/>
      <c r="C46" t="s">
        <v>7725</v>
      </c>
      <c r="E46" s="306">
        <f>VLOOKUP($C46,'COSS Step 1'!$D$122:$U$145,7,FALSE)</f>
        <v>1356</v>
      </c>
      <c r="F46" s="36" t="s">
        <v>2209</v>
      </c>
      <c r="G46" t="str">
        <f>INDEX('Allocator Summary'!$B$8:$B$28,MATCH($F46,'Allocator Summary'!$A$8:$A$28))</f>
        <v>Water Treatment</v>
      </c>
      <c r="H46" s="64">
        <f>INDEX('Allocator Summary'!C$8:C$28,MATCH($F46,'Allocator Summary'!$A$8:$A$28))*$E46</f>
        <v>0</v>
      </c>
      <c r="I46" s="64">
        <f>INDEX('Allocator Summary'!D$8:D$28,MATCH($F46,'Allocator Summary'!$A$8:$A$28))*$E46</f>
        <v>0</v>
      </c>
      <c r="J46" s="64">
        <f>INDEX('Allocator Summary'!E$8:E$28,MATCH($F46,'Allocator Summary'!$A$8:$A$28))*$E46</f>
        <v>1356</v>
      </c>
      <c r="K46" s="64">
        <f>INDEX('Allocator Summary'!F$8:F$28,MATCH($F46,'Allocator Summary'!$A$8:$A$28))*$E46</f>
        <v>0</v>
      </c>
      <c r="L46" s="64">
        <f>INDEX('Allocator Summary'!G$8:G$28,MATCH($F46,'Allocator Summary'!$A$8:$A$28))*$E46</f>
        <v>0</v>
      </c>
      <c r="M46" s="64">
        <f>INDEX('Allocator Summary'!H$8:H$28,MATCH($F46,'Allocator Summary'!$A$8:$A$28))*$E46</f>
        <v>0</v>
      </c>
      <c r="N46" s="64">
        <f>INDEX('Allocator Summary'!I$8:I$28,MATCH($F46,'Allocator Summary'!$A$8:$A$28))*$E46</f>
        <v>0</v>
      </c>
      <c r="O46" s="64">
        <f>INDEX('Allocator Summary'!J$8:J$26,MATCH($F46,'Allocator Summary'!$A$8:$A$28))*$E46</f>
        <v>0</v>
      </c>
      <c r="P46" s="64">
        <f>INDEX('Allocator Summary'!K$8:K$26,MATCH($F46,'Allocator Summary'!$A$8:$A$28))*$E46</f>
        <v>0</v>
      </c>
      <c r="Q46" s="64">
        <f>INDEX('Allocator Summary'!L$8:L$28,MATCH($F46,'Allocator Summary'!$A$8:$A$28))*$E46</f>
        <v>0</v>
      </c>
      <c r="R46" s="64">
        <f t="shared" si="17"/>
        <v>1356</v>
      </c>
      <c r="S46" s="64">
        <f t="shared" si="16"/>
        <v>0</v>
      </c>
    </row>
    <row r="47" spans="1:19" x14ac:dyDescent="0.25">
      <c r="B47" s="70"/>
      <c r="C47" t="s">
        <v>7737</v>
      </c>
      <c r="E47" s="306">
        <f>VLOOKUP($C47,'COSS Step 1'!$D$122:$U$145,7,FALSE)</f>
        <v>12048</v>
      </c>
      <c r="F47" s="36" t="s">
        <v>2209</v>
      </c>
      <c r="G47" t="str">
        <f>INDEX('Allocator Summary'!$B$8:$B$28,MATCH($F47,'Allocator Summary'!$A$8:$A$28))</f>
        <v>Water Treatment</v>
      </c>
      <c r="H47" s="64">
        <f>INDEX('Allocator Summary'!C$8:C$28,MATCH($F47,'Allocator Summary'!$A$8:$A$28))*$E47</f>
        <v>0</v>
      </c>
      <c r="I47" s="64">
        <f>INDEX('Allocator Summary'!D$8:D$28,MATCH($F47,'Allocator Summary'!$A$8:$A$28))*$E47</f>
        <v>0</v>
      </c>
      <c r="J47" s="64">
        <f>INDEX('Allocator Summary'!E$8:E$28,MATCH($F47,'Allocator Summary'!$A$8:$A$28))*$E47</f>
        <v>12048</v>
      </c>
      <c r="K47" s="64">
        <f>INDEX('Allocator Summary'!F$8:F$28,MATCH($F47,'Allocator Summary'!$A$8:$A$28))*$E47</f>
        <v>0</v>
      </c>
      <c r="L47" s="64">
        <f>INDEX('Allocator Summary'!G$8:G$28,MATCH($F47,'Allocator Summary'!$A$8:$A$28))*$E47</f>
        <v>0</v>
      </c>
      <c r="M47" s="64">
        <f>INDEX('Allocator Summary'!H$8:H$28,MATCH($F47,'Allocator Summary'!$A$8:$A$28))*$E47</f>
        <v>0</v>
      </c>
      <c r="N47" s="64">
        <f>INDEX('Allocator Summary'!I$8:I$28,MATCH($F47,'Allocator Summary'!$A$8:$A$28))*$E47</f>
        <v>0</v>
      </c>
      <c r="O47" s="64">
        <f>INDEX('Allocator Summary'!J$8:J$26,MATCH($F47,'Allocator Summary'!$A$8:$A$28))*$E47</f>
        <v>0</v>
      </c>
      <c r="P47" s="64">
        <f>INDEX('Allocator Summary'!K$8:K$26,MATCH($F47,'Allocator Summary'!$A$8:$A$28))*$E47</f>
        <v>0</v>
      </c>
      <c r="Q47" s="64">
        <f>INDEX('Allocator Summary'!L$8:L$28,MATCH($F47,'Allocator Summary'!$A$8:$A$28))*$E47</f>
        <v>0</v>
      </c>
      <c r="R47" s="64">
        <f t="shared" si="17"/>
        <v>12048</v>
      </c>
      <c r="S47" s="64">
        <f t="shared" si="16"/>
        <v>0</v>
      </c>
    </row>
    <row r="48" spans="1:19" x14ac:dyDescent="0.25">
      <c r="B48" s="70"/>
      <c r="C48" t="s">
        <v>7760</v>
      </c>
      <c r="E48" s="306">
        <f>VLOOKUP($C48,'COSS Step 1'!$D$122:$U$145,7,FALSE)</f>
        <v>14649</v>
      </c>
      <c r="F48" s="36" t="s">
        <v>2209</v>
      </c>
      <c r="G48" t="str">
        <f>INDEX('Allocator Summary'!$B$8:$B$28,MATCH($F48,'Allocator Summary'!$A$8:$A$28))</f>
        <v>Water Treatment</v>
      </c>
      <c r="H48" s="64">
        <f>INDEX('Allocator Summary'!C$8:C$28,MATCH($F48,'Allocator Summary'!$A$8:$A$28))*$E48</f>
        <v>0</v>
      </c>
      <c r="I48" s="64">
        <f>INDEX('Allocator Summary'!D$8:D$28,MATCH($F48,'Allocator Summary'!$A$8:$A$28))*$E48</f>
        <v>0</v>
      </c>
      <c r="J48" s="64">
        <f>INDEX('Allocator Summary'!E$8:E$28,MATCH($F48,'Allocator Summary'!$A$8:$A$28))*$E48</f>
        <v>14649</v>
      </c>
      <c r="K48" s="64">
        <f>INDEX('Allocator Summary'!F$8:F$28,MATCH($F48,'Allocator Summary'!$A$8:$A$28))*$E48</f>
        <v>0</v>
      </c>
      <c r="L48" s="64">
        <f>INDEX('Allocator Summary'!G$8:G$28,MATCH($F48,'Allocator Summary'!$A$8:$A$28))*$E48</f>
        <v>0</v>
      </c>
      <c r="M48" s="64">
        <f>INDEX('Allocator Summary'!H$8:H$28,MATCH($F48,'Allocator Summary'!$A$8:$A$28))*$E48</f>
        <v>0</v>
      </c>
      <c r="N48" s="64">
        <f>INDEX('Allocator Summary'!I$8:I$28,MATCH($F48,'Allocator Summary'!$A$8:$A$28))*$E48</f>
        <v>0</v>
      </c>
      <c r="O48" s="64">
        <f>INDEX('Allocator Summary'!J$8:J$26,MATCH($F48,'Allocator Summary'!$A$8:$A$28))*$E48</f>
        <v>0</v>
      </c>
      <c r="P48" s="64">
        <f>INDEX('Allocator Summary'!K$8:K$26,MATCH($F48,'Allocator Summary'!$A$8:$A$28))*$E48</f>
        <v>0</v>
      </c>
      <c r="Q48" s="64">
        <f>INDEX('Allocator Summary'!L$8:L$28,MATCH($F48,'Allocator Summary'!$A$8:$A$28))*$E48</f>
        <v>0</v>
      </c>
      <c r="R48" s="64">
        <f t="shared" si="17"/>
        <v>14649</v>
      </c>
      <c r="S48" s="64">
        <f t="shared" si="16"/>
        <v>0</v>
      </c>
    </row>
    <row r="49" spans="1:19" x14ac:dyDescent="0.25">
      <c r="B49" s="70"/>
      <c r="C49" t="s">
        <v>7767</v>
      </c>
      <c r="E49" s="306">
        <f>VLOOKUP($C49,'COSS Step 1'!$D$122:$U$145,7,FALSE)</f>
        <v>4061</v>
      </c>
      <c r="F49" s="36" t="s">
        <v>2209</v>
      </c>
      <c r="G49" t="str">
        <f>INDEX('Allocator Summary'!$B$8:$B$28,MATCH($F49,'Allocator Summary'!$A$8:$A$28))</f>
        <v>Water Treatment</v>
      </c>
      <c r="H49" s="64">
        <f>INDEX('Allocator Summary'!C$8:C$28,MATCH($F49,'Allocator Summary'!$A$8:$A$28))*$E49</f>
        <v>0</v>
      </c>
      <c r="I49" s="64">
        <f>INDEX('Allocator Summary'!D$8:D$28,MATCH($F49,'Allocator Summary'!$A$8:$A$28))*$E49</f>
        <v>0</v>
      </c>
      <c r="J49" s="64">
        <f>INDEX('Allocator Summary'!E$8:E$28,MATCH($F49,'Allocator Summary'!$A$8:$A$28))*$E49</f>
        <v>4061</v>
      </c>
      <c r="K49" s="64">
        <f>INDEX('Allocator Summary'!F$8:F$28,MATCH($F49,'Allocator Summary'!$A$8:$A$28))*$E49</f>
        <v>0</v>
      </c>
      <c r="L49" s="64">
        <f>INDEX('Allocator Summary'!G$8:G$28,MATCH($F49,'Allocator Summary'!$A$8:$A$28))*$E49</f>
        <v>0</v>
      </c>
      <c r="M49" s="64">
        <f>INDEX('Allocator Summary'!H$8:H$28,MATCH($F49,'Allocator Summary'!$A$8:$A$28))*$E49</f>
        <v>0</v>
      </c>
      <c r="N49" s="64">
        <f>INDEX('Allocator Summary'!I$8:I$28,MATCH($F49,'Allocator Summary'!$A$8:$A$28))*$E49</f>
        <v>0</v>
      </c>
      <c r="O49" s="64">
        <f>INDEX('Allocator Summary'!J$8:J$26,MATCH($F49,'Allocator Summary'!$A$8:$A$28))*$E49</f>
        <v>0</v>
      </c>
      <c r="P49" s="64">
        <f>INDEX('Allocator Summary'!K$8:K$26,MATCH($F49,'Allocator Summary'!$A$8:$A$28))*$E49</f>
        <v>0</v>
      </c>
      <c r="Q49" s="64">
        <f>INDEX('Allocator Summary'!L$8:L$28,MATCH($F49,'Allocator Summary'!$A$8:$A$28))*$E49</f>
        <v>0</v>
      </c>
      <c r="R49" s="64">
        <f t="shared" si="17"/>
        <v>4061</v>
      </c>
      <c r="S49" s="64">
        <f t="shared" si="16"/>
        <v>0</v>
      </c>
    </row>
    <row r="50" spans="1:19" x14ac:dyDescent="0.25">
      <c r="B50" s="70"/>
      <c r="C50" t="s">
        <v>7774</v>
      </c>
      <c r="E50" s="306">
        <f>VLOOKUP($C50,'COSS Step 1'!$D$122:$U$145,7,FALSE)</f>
        <v>205</v>
      </c>
      <c r="F50" s="36" t="s">
        <v>2209</v>
      </c>
      <c r="G50" t="str">
        <f>INDEX('Allocator Summary'!$B$8:$B$28,MATCH($F50,'Allocator Summary'!$A$8:$A$28))</f>
        <v>Water Treatment</v>
      </c>
      <c r="H50" s="64">
        <f>INDEX('Allocator Summary'!C$8:C$28,MATCH($F50,'Allocator Summary'!$A$8:$A$28))*$E50</f>
        <v>0</v>
      </c>
      <c r="I50" s="64">
        <f>INDEX('Allocator Summary'!D$8:D$28,MATCH($F50,'Allocator Summary'!$A$8:$A$28))*$E50</f>
        <v>0</v>
      </c>
      <c r="J50" s="64">
        <f>INDEX('Allocator Summary'!E$8:E$28,MATCH($F50,'Allocator Summary'!$A$8:$A$28))*$E50</f>
        <v>205</v>
      </c>
      <c r="K50" s="64">
        <f>INDEX('Allocator Summary'!F$8:F$28,MATCH($F50,'Allocator Summary'!$A$8:$A$28))*$E50</f>
        <v>0</v>
      </c>
      <c r="L50" s="64">
        <f>INDEX('Allocator Summary'!G$8:G$28,MATCH($F50,'Allocator Summary'!$A$8:$A$28))*$E50</f>
        <v>0</v>
      </c>
      <c r="M50" s="64">
        <f>INDEX('Allocator Summary'!H$8:H$28,MATCH($F50,'Allocator Summary'!$A$8:$A$28))*$E50</f>
        <v>0</v>
      </c>
      <c r="N50" s="64">
        <f>INDEX('Allocator Summary'!I$8:I$28,MATCH($F50,'Allocator Summary'!$A$8:$A$28))*$E50</f>
        <v>0</v>
      </c>
      <c r="O50" s="64">
        <f>INDEX('Allocator Summary'!J$8:J$26,MATCH($F50,'Allocator Summary'!$A$8:$A$28))*$E50</f>
        <v>0</v>
      </c>
      <c r="P50" s="64">
        <f>INDEX('Allocator Summary'!K$8:K$26,MATCH($F50,'Allocator Summary'!$A$8:$A$28))*$E50</f>
        <v>0</v>
      </c>
      <c r="Q50" s="64">
        <f>INDEX('Allocator Summary'!L$8:L$28,MATCH($F50,'Allocator Summary'!$A$8:$A$28))*$E50</f>
        <v>0</v>
      </c>
      <c r="R50" s="64">
        <f t="shared" si="17"/>
        <v>205</v>
      </c>
      <c r="S50" s="64">
        <f t="shared" si="16"/>
        <v>0</v>
      </c>
    </row>
    <row r="51" spans="1:19" x14ac:dyDescent="0.25">
      <c r="B51" s="70"/>
      <c r="C51" s="66" t="s">
        <v>7799</v>
      </c>
      <c r="D51" s="66"/>
      <c r="E51" s="306">
        <f>VLOOKUP($C51,'COSS Step 1'!$D$122:$U$145,7,FALSE)</f>
        <v>36696</v>
      </c>
      <c r="F51" s="75" t="s">
        <v>2209</v>
      </c>
      <c r="G51" s="66" t="str">
        <f>INDEX('Allocator Summary'!$B$8:$B$28,MATCH($F51,'Allocator Summary'!$A$8:$A$28))</f>
        <v>Water Treatment</v>
      </c>
      <c r="H51" s="76">
        <f>INDEX('Allocator Summary'!C$8:C$28,MATCH($F51,'Allocator Summary'!$A$8:$A$28))*$E51</f>
        <v>0</v>
      </c>
      <c r="I51" s="76">
        <f>INDEX('Allocator Summary'!D$8:D$28,MATCH($F51,'Allocator Summary'!$A$8:$A$28))*$E51</f>
        <v>0</v>
      </c>
      <c r="J51" s="76">
        <f>INDEX('Allocator Summary'!E$8:E$28,MATCH($F51,'Allocator Summary'!$A$8:$A$28))*$E51</f>
        <v>36696</v>
      </c>
      <c r="K51" s="76">
        <f>INDEX('Allocator Summary'!F$8:F$28,MATCH($F51,'Allocator Summary'!$A$8:$A$28))*$E51</f>
        <v>0</v>
      </c>
      <c r="L51" s="76">
        <f>INDEX('Allocator Summary'!G$8:G$28,MATCH($F51,'Allocator Summary'!$A$8:$A$28))*$E51</f>
        <v>0</v>
      </c>
      <c r="M51" s="76">
        <f>INDEX('Allocator Summary'!H$8:H$28,MATCH($F51,'Allocator Summary'!$A$8:$A$28))*$E51</f>
        <v>0</v>
      </c>
      <c r="N51" s="76">
        <f>INDEX('Allocator Summary'!I$8:I$28,MATCH($F51,'Allocator Summary'!$A$8:$A$28))*$E51</f>
        <v>0</v>
      </c>
      <c r="O51" s="76">
        <f>INDEX('Allocator Summary'!J$8:J$26,MATCH($F51,'Allocator Summary'!$A$8:$A$28))*$E51</f>
        <v>0</v>
      </c>
      <c r="P51" s="76">
        <f>INDEX('Allocator Summary'!K$8:K$26,MATCH($F51,'Allocator Summary'!$A$8:$A$28))*$E51</f>
        <v>0</v>
      </c>
      <c r="Q51" s="76">
        <f>INDEX('Allocator Summary'!L$8:L$28,MATCH($F51,'Allocator Summary'!$A$8:$A$28))*$E51</f>
        <v>0</v>
      </c>
      <c r="R51" s="76">
        <f t="shared" si="17"/>
        <v>36696</v>
      </c>
      <c r="S51" s="76">
        <f t="shared" si="16"/>
        <v>0</v>
      </c>
    </row>
    <row r="52" spans="1:19" x14ac:dyDescent="0.25">
      <c r="E52" s="187">
        <f>SUM(E43:E51)</f>
        <v>1934655.6400000001</v>
      </c>
      <c r="H52" s="3">
        <f t="shared" ref="H52:S52" si="18">SUM(H43:H51)</f>
        <v>0</v>
      </c>
      <c r="I52" s="3">
        <f t="shared" si="18"/>
        <v>0</v>
      </c>
      <c r="J52" s="3">
        <f t="shared" si="18"/>
        <v>1934655.6400000001</v>
      </c>
      <c r="K52" s="3">
        <f t="shared" si="18"/>
        <v>0</v>
      </c>
      <c r="L52" s="3">
        <f t="shared" si="18"/>
        <v>0</v>
      </c>
      <c r="M52" s="3">
        <f t="shared" si="18"/>
        <v>0</v>
      </c>
      <c r="N52" s="3">
        <f t="shared" si="18"/>
        <v>0</v>
      </c>
      <c r="O52" s="3">
        <f t="shared" si="18"/>
        <v>0</v>
      </c>
      <c r="P52" s="3">
        <f t="shared" si="18"/>
        <v>0</v>
      </c>
      <c r="Q52" s="3">
        <f t="shared" si="18"/>
        <v>0</v>
      </c>
      <c r="R52" s="3">
        <f t="shared" si="18"/>
        <v>1934655.6400000001</v>
      </c>
      <c r="S52" s="3">
        <f t="shared" si="18"/>
        <v>0</v>
      </c>
    </row>
    <row r="53" spans="1:19" x14ac:dyDescent="0.25">
      <c r="B53" t="s">
        <v>8</v>
      </c>
      <c r="E53" s="312"/>
    </row>
    <row r="54" spans="1:19" x14ac:dyDescent="0.25">
      <c r="B54" s="70"/>
      <c r="C54" t="s">
        <v>7619</v>
      </c>
      <c r="D54" s="79"/>
      <c r="E54" s="306">
        <f>VLOOKUP($C54,'COSS Step 1'!$D$149:$U$150,7,FALSE)</f>
        <v>303156.56000000006</v>
      </c>
      <c r="F54" s="36" t="s">
        <v>2209</v>
      </c>
      <c r="G54" t="str">
        <f>INDEX('Allocator Summary'!$B$8:$B$28,MATCH($F54,'Allocator Summary'!$A$8:$A$28))</f>
        <v>Water Treatment</v>
      </c>
      <c r="H54" s="64">
        <f>INDEX('Allocator Summary'!C$8:C$28,MATCH($F54,'Allocator Summary'!$A$8:$A$28))*$E54</f>
        <v>0</v>
      </c>
      <c r="I54" s="64">
        <f>INDEX('Allocator Summary'!D$8:D$28,MATCH($F54,'Allocator Summary'!$A$8:$A$28))*$E54</f>
        <v>0</v>
      </c>
      <c r="J54" s="64">
        <f>INDEX('Allocator Summary'!E$8:E$28,MATCH($F54,'Allocator Summary'!$A$8:$A$28))*$E54</f>
        <v>303156.56000000006</v>
      </c>
      <c r="K54" s="64">
        <f>INDEX('Allocator Summary'!F$8:F$28,MATCH($F54,'Allocator Summary'!$A$8:$A$28))*$E54</f>
        <v>0</v>
      </c>
      <c r="L54" s="64">
        <f>INDEX('Allocator Summary'!G$8:G$28,MATCH($F54,'Allocator Summary'!$A$8:$A$28))*$E54</f>
        <v>0</v>
      </c>
      <c r="M54" s="64">
        <f>INDEX('Allocator Summary'!H$8:H$28,MATCH($F54,'Allocator Summary'!$A$8:$A$28))*$E54</f>
        <v>0</v>
      </c>
      <c r="N54" s="64">
        <f>INDEX('Allocator Summary'!I$8:I$28,MATCH($F54,'Allocator Summary'!$A$8:$A$28))*$E54</f>
        <v>0</v>
      </c>
      <c r="O54" s="64">
        <f>INDEX('Allocator Summary'!J$8:J$26,MATCH($F54,'Allocator Summary'!$A$8:$A$28))*$E54</f>
        <v>0</v>
      </c>
      <c r="P54" s="64">
        <f>INDEX('Allocator Summary'!K$8:K$26,MATCH($F54,'Allocator Summary'!$A$8:$A$28))*$E54</f>
        <v>0</v>
      </c>
      <c r="Q54" s="64">
        <f>INDEX('Allocator Summary'!L$8:L$28,MATCH($F54,'Allocator Summary'!$A$8:$A$28))*$E54</f>
        <v>0</v>
      </c>
      <c r="R54" s="64">
        <f t="shared" ref="R54:R55" si="19">SUM(H54:Q54)</f>
        <v>303156.56000000006</v>
      </c>
      <c r="S54" s="64">
        <f>R54-E54</f>
        <v>0</v>
      </c>
    </row>
    <row r="55" spans="1:19" x14ac:dyDescent="0.25">
      <c r="B55" s="70"/>
      <c r="C55" s="66" t="s">
        <v>7868</v>
      </c>
      <c r="D55" s="78"/>
      <c r="E55" s="306">
        <f>VLOOKUP($C55,'COSS Step 1'!$D$149:$U$150,7,FALSE)</f>
        <v>28056</v>
      </c>
      <c r="F55" s="75" t="s">
        <v>2209</v>
      </c>
      <c r="G55" s="66" t="str">
        <f>INDEX('Allocator Summary'!$B$8:$B$28,MATCH($F55,'Allocator Summary'!$A$8:$A$28))</f>
        <v>Water Treatment</v>
      </c>
      <c r="H55" s="76">
        <f>INDEX('Allocator Summary'!C$8:C$28,MATCH($F55,'Allocator Summary'!$A$8:$A$28))*$E55</f>
        <v>0</v>
      </c>
      <c r="I55" s="76">
        <f>INDEX('Allocator Summary'!D$8:D$28,MATCH($F55,'Allocator Summary'!$A$8:$A$28))*$E55</f>
        <v>0</v>
      </c>
      <c r="J55" s="76">
        <f>INDEX('Allocator Summary'!E$8:E$28,MATCH($F55,'Allocator Summary'!$A$8:$A$28))*$E55</f>
        <v>28056</v>
      </c>
      <c r="K55" s="76">
        <f>INDEX('Allocator Summary'!F$8:F$28,MATCH($F55,'Allocator Summary'!$A$8:$A$28))*$E55</f>
        <v>0</v>
      </c>
      <c r="L55" s="76">
        <f>INDEX('Allocator Summary'!G$8:G$28,MATCH($F55,'Allocator Summary'!$A$8:$A$28))*$E55</f>
        <v>0</v>
      </c>
      <c r="M55" s="76">
        <f>INDEX('Allocator Summary'!H$8:H$28,MATCH($F55,'Allocator Summary'!$A$8:$A$28))*$E55</f>
        <v>0</v>
      </c>
      <c r="N55" s="76">
        <f>INDEX('Allocator Summary'!I$8:I$28,MATCH($F55,'Allocator Summary'!$A$8:$A$28))*$E55</f>
        <v>0</v>
      </c>
      <c r="O55" s="76">
        <f>INDEX('Allocator Summary'!J$8:J$26,MATCH($F55,'Allocator Summary'!$A$8:$A$28))*$E55</f>
        <v>0</v>
      </c>
      <c r="P55" s="76">
        <f>INDEX('Allocator Summary'!K$8:K$26,MATCH($F55,'Allocator Summary'!$A$8:$A$28))*$E55</f>
        <v>0</v>
      </c>
      <c r="Q55" s="76">
        <f>INDEX('Allocator Summary'!L$8:L$28,MATCH($F55,'Allocator Summary'!$A$8:$A$28))*$E55</f>
        <v>0</v>
      </c>
      <c r="R55" s="76">
        <f t="shared" si="19"/>
        <v>28056</v>
      </c>
      <c r="S55" s="76">
        <f>R55-E55</f>
        <v>0</v>
      </c>
    </row>
    <row r="56" spans="1:19" x14ac:dyDescent="0.25">
      <c r="E56" s="187">
        <f>SUM(E54:E55)</f>
        <v>331212.56000000006</v>
      </c>
      <c r="H56" s="3">
        <f t="shared" ref="H56:S56" si="20">SUM(H54:H55)</f>
        <v>0</v>
      </c>
      <c r="I56" s="3">
        <f t="shared" si="20"/>
        <v>0</v>
      </c>
      <c r="J56" s="3">
        <f t="shared" si="20"/>
        <v>331212.56000000006</v>
      </c>
      <c r="K56" s="3">
        <f t="shared" si="20"/>
        <v>0</v>
      </c>
      <c r="L56" s="3">
        <f t="shared" si="20"/>
        <v>0</v>
      </c>
      <c r="M56" s="3">
        <f t="shared" si="20"/>
        <v>0</v>
      </c>
      <c r="N56" s="3">
        <f t="shared" si="20"/>
        <v>0</v>
      </c>
      <c r="O56" s="3">
        <f t="shared" si="20"/>
        <v>0</v>
      </c>
      <c r="P56" s="3">
        <f t="shared" si="20"/>
        <v>0</v>
      </c>
      <c r="Q56" s="3">
        <f t="shared" si="20"/>
        <v>0</v>
      </c>
      <c r="R56" s="3">
        <f t="shared" si="20"/>
        <v>331212.56000000006</v>
      </c>
      <c r="S56" s="3">
        <f t="shared" si="20"/>
        <v>0</v>
      </c>
    </row>
    <row r="57" spans="1:19" x14ac:dyDescent="0.25">
      <c r="E57" s="3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C58" s="1" t="s">
        <v>7005</v>
      </c>
      <c r="D58" s="1"/>
      <c r="E58" s="313">
        <f>E52+E56</f>
        <v>2265868.2000000002</v>
      </c>
      <c r="H58" s="77">
        <f t="shared" ref="H58:S58" si="21">H52+H56</f>
        <v>0</v>
      </c>
      <c r="I58" s="77">
        <f t="shared" si="21"/>
        <v>0</v>
      </c>
      <c r="J58" s="77">
        <f t="shared" si="21"/>
        <v>2265868.2000000002</v>
      </c>
      <c r="K58" s="77">
        <f t="shared" si="21"/>
        <v>0</v>
      </c>
      <c r="L58" s="77">
        <f t="shared" si="21"/>
        <v>0</v>
      </c>
      <c r="M58" s="77">
        <f t="shared" si="21"/>
        <v>0</v>
      </c>
      <c r="N58" s="77">
        <f t="shared" si="21"/>
        <v>0</v>
      </c>
      <c r="O58" s="77">
        <f t="shared" si="21"/>
        <v>0</v>
      </c>
      <c r="P58" s="77">
        <f t="shared" si="21"/>
        <v>0</v>
      </c>
      <c r="Q58" s="77">
        <f t="shared" si="21"/>
        <v>0</v>
      </c>
      <c r="R58" s="77">
        <f t="shared" si="21"/>
        <v>2265868.2000000002</v>
      </c>
      <c r="S58" s="77">
        <f t="shared" si="21"/>
        <v>0</v>
      </c>
    </row>
    <row r="60" spans="1:19" x14ac:dyDescent="0.25">
      <c r="A60" s="4" t="s">
        <v>7006</v>
      </c>
    </row>
    <row r="61" spans="1:19" x14ac:dyDescent="0.25">
      <c r="B61" t="s">
        <v>6999</v>
      </c>
    </row>
    <row r="62" spans="1:19" x14ac:dyDescent="0.25">
      <c r="B62" s="70"/>
      <c r="C62" t="s">
        <v>7142</v>
      </c>
      <c r="E62" s="306">
        <f>VLOOKUP($C62,'COSS Step 1'!$D$122:$U$145,9,FALSE)</f>
        <v>11203.177023207281</v>
      </c>
      <c r="F62" s="36">
        <v>1</v>
      </c>
      <c r="G62" t="str">
        <f>INDEX('Allocator Summary'!$B$8:$B$28,MATCH($F62,'Allocator Summary'!$A$8:$A$28))</f>
        <v>T/D Oper. Expense</v>
      </c>
      <c r="H62" s="64">
        <f>INDEX('Allocator Summary'!C$8:C$28,MATCH($F62,'Allocator Summary'!$A$8:$A$28))*$E62</f>
        <v>0</v>
      </c>
      <c r="I62" s="64">
        <f>INDEX('Allocator Summary'!D$8:D$28,MATCH($F62,'Allocator Summary'!$A$8:$A$28))*$E62</f>
        <v>0</v>
      </c>
      <c r="J62" s="64">
        <f>INDEX('Allocator Summary'!E$8:E$28,MATCH($F62,'Allocator Summary'!$A$8:$A$28))*$E62</f>
        <v>0</v>
      </c>
      <c r="K62" s="64">
        <f>INDEX('Allocator Summary'!F$8:F$28,MATCH($F62,'Allocator Summary'!$A$8:$A$28))*$E62</f>
        <v>2290.3645287673785</v>
      </c>
      <c r="L62" s="64">
        <f>INDEX('Allocator Summary'!G$8:G$28,MATCH($F62,'Allocator Summary'!$A$8:$A$28))*$E62</f>
        <v>6956.753452359836</v>
      </c>
      <c r="M62" s="64">
        <f>INDEX('Allocator Summary'!H$8:H$28,MATCH($F62,'Allocator Summary'!$A$8:$A$28))*$E62</f>
        <v>98.331054332415306</v>
      </c>
      <c r="N62" s="64">
        <f>INDEX('Allocator Summary'!I$8:I$28,MATCH($F62,'Allocator Summary'!$A$8:$A$28))*$E62</f>
        <v>1857.7279877476494</v>
      </c>
      <c r="O62" s="64">
        <f>INDEX('Allocator Summary'!J$8:J$26,MATCH($F62,'Allocator Summary'!$A$8:$A$28))*$E62</f>
        <v>0</v>
      </c>
      <c r="P62" s="64">
        <f>INDEX('Allocator Summary'!K$8:K$26,MATCH($F62,'Allocator Summary'!$A$8:$A$28))*$E62</f>
        <v>0</v>
      </c>
      <c r="Q62" s="64">
        <f>INDEX('Allocator Summary'!L$8:L$28,MATCH($F62,'Allocator Summary'!$A$8:$A$28))*$E62</f>
        <v>0</v>
      </c>
      <c r="R62" s="64">
        <f t="shared" ref="R62" si="22">SUM(H62:Q62)</f>
        <v>11203.177023207278</v>
      </c>
      <c r="S62" s="64">
        <f t="shared" ref="S62:S70" si="23">R62-E62</f>
        <v>0</v>
      </c>
    </row>
    <row r="63" spans="1:19" x14ac:dyDescent="0.25">
      <c r="B63" s="70"/>
      <c r="C63" t="s">
        <v>7143</v>
      </c>
      <c r="E63" s="306">
        <f>VLOOKUP($C63,'COSS Step 1'!$D$122:$U$145,9,FALSE)</f>
        <v>331329.05</v>
      </c>
      <c r="F63" s="36">
        <v>1</v>
      </c>
      <c r="G63" t="str">
        <f>INDEX('Allocator Summary'!$B$8:$B$28,MATCH($F63,'Allocator Summary'!$A$8:$A$28))</f>
        <v>T/D Oper. Expense</v>
      </c>
      <c r="H63" s="64">
        <f>INDEX('Allocator Summary'!C$8:C$28,MATCH($F63,'Allocator Summary'!$A$8:$A$28))*$E63</f>
        <v>0</v>
      </c>
      <c r="I63" s="64">
        <f>INDEX('Allocator Summary'!D$8:D$28,MATCH($F63,'Allocator Summary'!$A$8:$A$28))*$E63</f>
        <v>0</v>
      </c>
      <c r="J63" s="64">
        <f>INDEX('Allocator Summary'!E$8:E$28,MATCH($F63,'Allocator Summary'!$A$8:$A$28))*$E63</f>
        <v>0</v>
      </c>
      <c r="K63" s="64">
        <f>INDEX('Allocator Summary'!F$8:F$28,MATCH($F63,'Allocator Summary'!$A$8:$A$28))*$E63</f>
        <v>67736.527049265802</v>
      </c>
      <c r="L63" s="64">
        <f>INDEX('Allocator Summary'!G$8:G$28,MATCH($F63,'Allocator Summary'!$A$8:$A$28))*$E63</f>
        <v>205742.93414090222</v>
      </c>
      <c r="M63" s="64">
        <f>INDEX('Allocator Summary'!H$8:H$28,MATCH($F63,'Allocator Summary'!$A$8:$A$28))*$E63</f>
        <v>2908.0978324245434</v>
      </c>
      <c r="N63" s="64">
        <f>INDEX('Allocator Summary'!I$8:I$28,MATCH($F63,'Allocator Summary'!$A$8:$A$28))*$E63</f>
        <v>54941.49097740736</v>
      </c>
      <c r="O63" s="64">
        <f>INDEX('Allocator Summary'!J$8:J$26,MATCH($F63,'Allocator Summary'!$A$8:$A$28))*$E63</f>
        <v>0</v>
      </c>
      <c r="P63" s="64">
        <f>INDEX('Allocator Summary'!K$8:K$26,MATCH($F63,'Allocator Summary'!$A$8:$A$28))*$E63</f>
        <v>0</v>
      </c>
      <c r="Q63" s="64">
        <f>INDEX('Allocator Summary'!L$8:L$28,MATCH($F63,'Allocator Summary'!$A$8:$A$28))*$E63</f>
        <v>0</v>
      </c>
      <c r="R63" s="64">
        <f t="shared" ref="R63:R70" si="24">SUM(H63:Q63)</f>
        <v>331329.05</v>
      </c>
      <c r="S63" s="64">
        <f t="shared" si="23"/>
        <v>0</v>
      </c>
    </row>
    <row r="64" spans="1:19" x14ac:dyDescent="0.25">
      <c r="B64" s="70"/>
      <c r="C64" t="s">
        <v>7691</v>
      </c>
      <c r="E64" s="306">
        <f>VLOOKUP($C64,'COSS Step 1'!$D$122:$U$145,9,FALSE)</f>
        <v>73</v>
      </c>
      <c r="F64" s="36">
        <v>1</v>
      </c>
      <c r="G64" t="str">
        <f>INDEX('Allocator Summary'!$B$8:$B$28,MATCH($F64,'Allocator Summary'!$A$8:$A$28))</f>
        <v>T/D Oper. Expense</v>
      </c>
      <c r="H64" s="64">
        <f>INDEX('Allocator Summary'!C$8:C$28,MATCH($F64,'Allocator Summary'!$A$8:$A$28))*$E64</f>
        <v>0</v>
      </c>
      <c r="I64" s="64">
        <f>INDEX('Allocator Summary'!D$8:D$28,MATCH($F64,'Allocator Summary'!$A$8:$A$28))*$E64</f>
        <v>0</v>
      </c>
      <c r="J64" s="64">
        <f>INDEX('Allocator Summary'!E$8:E$28,MATCH($F64,'Allocator Summary'!$A$8:$A$28))*$E64</f>
        <v>0</v>
      </c>
      <c r="K64" s="64">
        <f>INDEX('Allocator Summary'!F$8:F$28,MATCH($F64,'Allocator Summary'!$A$8:$A$28))*$E64</f>
        <v>14.92403541010486</v>
      </c>
      <c r="L64" s="64">
        <f>INDEX('Allocator Summary'!G$8:G$28,MATCH($F64,'Allocator Summary'!$A$8:$A$28))*$E64</f>
        <v>45.330266670809166</v>
      </c>
      <c r="M64" s="64">
        <f>INDEX('Allocator Summary'!H$8:H$28,MATCH($F64,'Allocator Summary'!$A$8:$A$28))*$E64</f>
        <v>0.64072601471857571</v>
      </c>
      <c r="N64" s="64">
        <f>INDEX('Allocator Summary'!I$8:I$28,MATCH($F64,'Allocator Summary'!$A$8:$A$28))*$E64</f>
        <v>12.104971904367389</v>
      </c>
      <c r="O64" s="64">
        <f>INDEX('Allocator Summary'!J$8:J$26,MATCH($F64,'Allocator Summary'!$A$8:$A$28))*$E64</f>
        <v>0</v>
      </c>
      <c r="P64" s="64">
        <f>INDEX('Allocator Summary'!K$8:K$26,MATCH($F64,'Allocator Summary'!$A$8:$A$28))*$E64</f>
        <v>0</v>
      </c>
      <c r="Q64" s="64">
        <f>INDEX('Allocator Summary'!L$8:L$28,MATCH($F64,'Allocator Summary'!$A$8:$A$28))*$E64</f>
        <v>0</v>
      </c>
      <c r="R64" s="64">
        <f t="shared" ref="R64" si="25">SUM(H64:Q64)</f>
        <v>73</v>
      </c>
      <c r="S64" s="64">
        <f t="shared" si="23"/>
        <v>0</v>
      </c>
    </row>
    <row r="65" spans="1:19" x14ac:dyDescent="0.25">
      <c r="B65" s="70"/>
      <c r="C65" t="s">
        <v>7725</v>
      </c>
      <c r="E65" s="306">
        <f>VLOOKUP($C65,'COSS Step 1'!$D$122:$U$145,9,FALSE)</f>
        <v>636</v>
      </c>
      <c r="F65" s="36">
        <v>1</v>
      </c>
      <c r="G65" t="str">
        <f>INDEX('Allocator Summary'!$B$8:$B$28,MATCH($F65,'Allocator Summary'!$A$8:$A$28))</f>
        <v>T/D Oper. Expense</v>
      </c>
      <c r="H65" s="64">
        <f>INDEX('Allocator Summary'!C$8:C$28,MATCH($F65,'Allocator Summary'!$A$8:$A$28))*$E65</f>
        <v>0</v>
      </c>
      <c r="I65" s="64">
        <f>INDEX('Allocator Summary'!D$8:D$28,MATCH($F65,'Allocator Summary'!$A$8:$A$28))*$E65</f>
        <v>0</v>
      </c>
      <c r="J65" s="64">
        <f>INDEX('Allocator Summary'!E$8:E$28,MATCH($F65,'Allocator Summary'!$A$8:$A$28))*$E65</f>
        <v>0</v>
      </c>
      <c r="K65" s="64">
        <f>INDEX('Allocator Summary'!F$8:F$28,MATCH($F65,'Allocator Summary'!$A$8:$A$28))*$E65</f>
        <v>130.02310302502318</v>
      </c>
      <c r="L65" s="64">
        <f>INDEX('Allocator Summary'!G$8:G$28,MATCH($F65,'Allocator Summary'!$A$8:$A$28))*$E65</f>
        <v>394.93218633746068</v>
      </c>
      <c r="M65" s="64">
        <f>INDEX('Allocator Summary'!H$8:H$28,MATCH($F65,'Allocator Summary'!$A$8:$A$28))*$E65</f>
        <v>5.5822156898769055</v>
      </c>
      <c r="N65" s="64">
        <f>INDEX('Allocator Summary'!I$8:I$28,MATCH($F65,'Allocator Summary'!$A$8:$A$28))*$E65</f>
        <v>105.46249494763916</v>
      </c>
      <c r="O65" s="64">
        <f>INDEX('Allocator Summary'!J$8:J$26,MATCH($F65,'Allocator Summary'!$A$8:$A$28))*$E65</f>
        <v>0</v>
      </c>
      <c r="P65" s="64">
        <f>INDEX('Allocator Summary'!K$8:K$26,MATCH($F65,'Allocator Summary'!$A$8:$A$28))*$E65</f>
        <v>0</v>
      </c>
      <c r="Q65" s="64">
        <f>INDEX('Allocator Summary'!L$8:L$28,MATCH($F65,'Allocator Summary'!$A$8:$A$28))*$E65</f>
        <v>0</v>
      </c>
      <c r="R65" s="64">
        <f t="shared" si="24"/>
        <v>635.99999999999989</v>
      </c>
      <c r="S65" s="64">
        <f t="shared" si="23"/>
        <v>0</v>
      </c>
    </row>
    <row r="66" spans="1:19" x14ac:dyDescent="0.25">
      <c r="B66" s="70"/>
      <c r="C66" t="s">
        <v>7737</v>
      </c>
      <c r="D66" s="72"/>
      <c r="E66" s="306">
        <f>VLOOKUP($C66,'COSS Step 1'!$D$122:$U$145,9,FALSE)</f>
        <v>42000</v>
      </c>
      <c r="F66" s="36">
        <v>1</v>
      </c>
      <c r="G66" t="str">
        <f>INDEX('Allocator Summary'!$B$8:$B$28,MATCH($F66,'Allocator Summary'!$A$8:$A$28))</f>
        <v>T/D Oper. Expense</v>
      </c>
      <c r="H66" s="64">
        <f>INDEX('Allocator Summary'!C$8:C$28,MATCH($F66,'Allocator Summary'!$A$8:$A$28))*$E66</f>
        <v>0</v>
      </c>
      <c r="I66" s="64">
        <f>INDEX('Allocator Summary'!D$8:D$28,MATCH($F66,'Allocator Summary'!$A$8:$A$28))*$E66</f>
        <v>0</v>
      </c>
      <c r="J66" s="64">
        <f>INDEX('Allocator Summary'!E$8:E$28,MATCH($F66,'Allocator Summary'!$A$8:$A$28))*$E66</f>
        <v>0</v>
      </c>
      <c r="K66" s="64">
        <f>INDEX('Allocator Summary'!F$8:F$28,MATCH($F66,'Allocator Summary'!$A$8:$A$28))*$E66</f>
        <v>8586.4313318411532</v>
      </c>
      <c r="L66" s="64">
        <f>INDEX('Allocator Summary'!G$8:G$28,MATCH($F66,'Allocator Summary'!$A$8:$A$28))*$E66</f>
        <v>26080.427399643628</v>
      </c>
      <c r="M66" s="64">
        <f>INDEX('Allocator Summary'!H$8:H$28,MATCH($F66,'Allocator Summary'!$A$8:$A$28))*$E66</f>
        <v>368.63688518055039</v>
      </c>
      <c r="N66" s="64">
        <f>INDEX('Allocator Summary'!I$8:I$28,MATCH($F66,'Allocator Summary'!$A$8:$A$28))*$E66</f>
        <v>6964.5043833346617</v>
      </c>
      <c r="O66" s="64">
        <f>INDEX('Allocator Summary'!J$8:J$26,MATCH($F66,'Allocator Summary'!$A$8:$A$28))*$E66</f>
        <v>0</v>
      </c>
      <c r="P66" s="64">
        <f>INDEX('Allocator Summary'!K$8:K$26,MATCH($F66,'Allocator Summary'!$A$8:$A$28))*$E66</f>
        <v>0</v>
      </c>
      <c r="Q66" s="64">
        <f>INDEX('Allocator Summary'!L$8:L$28,MATCH($F66,'Allocator Summary'!$A$8:$A$28))*$E66</f>
        <v>0</v>
      </c>
      <c r="R66" s="64">
        <f t="shared" si="24"/>
        <v>42000</v>
      </c>
      <c r="S66" s="64">
        <f t="shared" si="23"/>
        <v>0</v>
      </c>
    </row>
    <row r="67" spans="1:19" x14ac:dyDescent="0.25">
      <c r="B67" s="70"/>
      <c r="C67" t="s">
        <v>7760</v>
      </c>
      <c r="D67" s="74"/>
      <c r="E67" s="306">
        <f>VLOOKUP($C67,'COSS Step 1'!$D$122:$U$145,9,FALSE)</f>
        <v>29210</v>
      </c>
      <c r="F67" s="36">
        <v>1</v>
      </c>
      <c r="G67" t="str">
        <f>INDEX('Allocator Summary'!$B$8:$B$28,MATCH($F67,'Allocator Summary'!$A$8:$A$28))</f>
        <v>T/D Oper. Expense</v>
      </c>
      <c r="H67" s="64">
        <f>INDEX('Allocator Summary'!C$8:C$28,MATCH($F67,'Allocator Summary'!$A$8:$A$28))*$E67</f>
        <v>0</v>
      </c>
      <c r="I67" s="64">
        <f>INDEX('Allocator Summary'!D$8:D$28,MATCH($F67,'Allocator Summary'!$A$8:$A$28))*$E67</f>
        <v>0</v>
      </c>
      <c r="J67" s="64">
        <f>INDEX('Allocator Summary'!E$8:E$28,MATCH($F67,'Allocator Summary'!$A$8:$A$28))*$E67</f>
        <v>0</v>
      </c>
      <c r="K67" s="64">
        <f>INDEX('Allocator Summary'!F$8:F$28,MATCH($F67,'Allocator Summary'!$A$8:$A$28))*$E67</f>
        <v>5971.658552454287</v>
      </c>
      <c r="L67" s="64">
        <f>INDEX('Allocator Summary'!G$8:G$28,MATCH($F67,'Allocator Summary'!$A$8:$A$28))*$E67</f>
        <v>18138.316293895008</v>
      </c>
      <c r="M67" s="64">
        <f>INDEX('Allocator Summary'!H$8:H$28,MATCH($F67,'Allocator Summary'!$A$8:$A$28))*$E67</f>
        <v>256.37817657437802</v>
      </c>
      <c r="N67" s="64">
        <f>INDEX('Allocator Summary'!I$8:I$28,MATCH($F67,'Allocator Summary'!$A$8:$A$28))*$E67</f>
        <v>4843.6469770763206</v>
      </c>
      <c r="O67" s="64">
        <f>INDEX('Allocator Summary'!J$8:J$26,MATCH($F67,'Allocator Summary'!$A$8:$A$28))*$E67</f>
        <v>0</v>
      </c>
      <c r="P67" s="64">
        <f>INDEX('Allocator Summary'!K$8:K$26,MATCH($F67,'Allocator Summary'!$A$8:$A$28))*$E67</f>
        <v>0</v>
      </c>
      <c r="Q67" s="64">
        <f>INDEX('Allocator Summary'!L$8:L$28,MATCH($F67,'Allocator Summary'!$A$8:$A$28))*$E67</f>
        <v>0</v>
      </c>
      <c r="R67" s="64">
        <f t="shared" si="24"/>
        <v>29209.999999999993</v>
      </c>
      <c r="S67" s="64">
        <f t="shared" si="23"/>
        <v>0</v>
      </c>
    </row>
    <row r="68" spans="1:19" x14ac:dyDescent="0.25">
      <c r="B68" s="70"/>
      <c r="C68" t="s">
        <v>7767</v>
      </c>
      <c r="E68" s="306">
        <f>VLOOKUP($C68,'COSS Step 1'!$D$122:$U$145,9,FALSE)</f>
        <v>24</v>
      </c>
      <c r="F68" s="36">
        <v>1</v>
      </c>
      <c r="G68" t="str">
        <f>INDEX('Allocator Summary'!$B$8:$B$28,MATCH($F68,'Allocator Summary'!$A$8:$A$28))</f>
        <v>T/D Oper. Expense</v>
      </c>
      <c r="H68" s="64">
        <f>INDEX('Allocator Summary'!C$8:C$28,MATCH($F68,'Allocator Summary'!$A$8:$A$28))*$E68</f>
        <v>0</v>
      </c>
      <c r="I68" s="64">
        <f>INDEX('Allocator Summary'!D$8:D$28,MATCH($F68,'Allocator Summary'!$A$8:$A$28))*$E68</f>
        <v>0</v>
      </c>
      <c r="J68" s="64">
        <f>INDEX('Allocator Summary'!E$8:E$28,MATCH($F68,'Allocator Summary'!$A$8:$A$28))*$E68</f>
        <v>0</v>
      </c>
      <c r="K68" s="64">
        <f>INDEX('Allocator Summary'!F$8:F$28,MATCH($F68,'Allocator Summary'!$A$8:$A$28))*$E68</f>
        <v>4.9065321896235154</v>
      </c>
      <c r="L68" s="64">
        <f>INDEX('Allocator Summary'!G$8:G$28,MATCH($F68,'Allocator Summary'!$A$8:$A$28))*$E68</f>
        <v>14.903101371224931</v>
      </c>
      <c r="M68" s="64">
        <f>INDEX('Allocator Summary'!H$8:H$28,MATCH($F68,'Allocator Summary'!$A$8:$A$28))*$E68</f>
        <v>0.21064964867460023</v>
      </c>
      <c r="N68" s="64">
        <f>INDEX('Allocator Summary'!I$8:I$28,MATCH($F68,'Allocator Summary'!$A$8:$A$28))*$E68</f>
        <v>3.9797167904769495</v>
      </c>
      <c r="O68" s="64">
        <f>INDEX('Allocator Summary'!J$8:J$26,MATCH($F68,'Allocator Summary'!$A$8:$A$28))*$E68</f>
        <v>0</v>
      </c>
      <c r="P68" s="64">
        <f>INDEX('Allocator Summary'!K$8:K$26,MATCH($F68,'Allocator Summary'!$A$8:$A$28))*$E68</f>
        <v>0</v>
      </c>
      <c r="Q68" s="64">
        <f>INDEX('Allocator Summary'!L$8:L$28,MATCH($F68,'Allocator Summary'!$A$8:$A$28))*$E68</f>
        <v>0</v>
      </c>
      <c r="R68" s="64">
        <f t="shared" si="24"/>
        <v>23.999999999999996</v>
      </c>
      <c r="S68" s="64">
        <f t="shared" si="23"/>
        <v>0</v>
      </c>
    </row>
    <row r="69" spans="1:19" x14ac:dyDescent="0.25">
      <c r="B69" s="70"/>
      <c r="C69" t="s">
        <v>7774</v>
      </c>
      <c r="E69" s="306">
        <f>VLOOKUP($C69,'COSS Step 1'!$D$122:$U$145,9,FALSE)</f>
        <v>36966</v>
      </c>
      <c r="F69" s="36">
        <v>1</v>
      </c>
      <c r="G69" t="str">
        <f>INDEX('Allocator Summary'!$B$8:$B$28,MATCH($F69,'Allocator Summary'!$A$8:$A$28))</f>
        <v>T/D Oper. Expense</v>
      </c>
      <c r="H69" s="64">
        <f>INDEX('Allocator Summary'!C$8:C$28,MATCH($F69,'Allocator Summary'!$A$8:$A$28))*$E69</f>
        <v>0</v>
      </c>
      <c r="I69" s="64">
        <f>INDEX('Allocator Summary'!D$8:D$28,MATCH($F69,'Allocator Summary'!$A$8:$A$28))*$E69</f>
        <v>0</v>
      </c>
      <c r="J69" s="64">
        <f>INDEX('Allocator Summary'!E$8:E$28,MATCH($F69,'Allocator Summary'!$A$8:$A$28))*$E69</f>
        <v>0</v>
      </c>
      <c r="K69" s="64">
        <f>INDEX('Allocator Summary'!F$8:F$28,MATCH($F69,'Allocator Summary'!$A$8:$A$28))*$E69</f>
        <v>7557.2862050676204</v>
      </c>
      <c r="L69" s="64">
        <f>INDEX('Allocator Summary'!G$8:G$28,MATCH($F69,'Allocator Summary'!$A$8:$A$28))*$E69</f>
        <v>22954.501887029201</v>
      </c>
      <c r="M69" s="64">
        <f>INDEX('Allocator Summary'!H$8:H$28,MATCH($F69,'Allocator Summary'!$A$8:$A$28))*$E69</f>
        <v>324.45312137105299</v>
      </c>
      <c r="N69" s="64">
        <f>INDEX('Allocator Summary'!I$8:I$28,MATCH($F69,'Allocator Summary'!$A$8:$A$28))*$E69</f>
        <v>6129.7587865321211</v>
      </c>
      <c r="O69" s="64">
        <f>INDEX('Allocator Summary'!J$8:J$26,MATCH($F69,'Allocator Summary'!$A$8:$A$28))*$E69</f>
        <v>0</v>
      </c>
      <c r="P69" s="64">
        <f>INDEX('Allocator Summary'!K$8:K$26,MATCH($F69,'Allocator Summary'!$A$8:$A$28))*$E69</f>
        <v>0</v>
      </c>
      <c r="Q69" s="64">
        <f>INDEX('Allocator Summary'!L$8:L$28,MATCH($F69,'Allocator Summary'!$A$8:$A$28))*$E69</f>
        <v>0</v>
      </c>
      <c r="R69" s="64">
        <f t="shared" si="24"/>
        <v>36965.999999999993</v>
      </c>
      <c r="S69" s="64">
        <f t="shared" si="23"/>
        <v>0</v>
      </c>
    </row>
    <row r="70" spans="1:19" x14ac:dyDescent="0.25">
      <c r="B70" s="70"/>
      <c r="C70" s="66" t="s">
        <v>7799</v>
      </c>
      <c r="D70" s="66"/>
      <c r="E70" s="306">
        <f>VLOOKUP($C70,'COSS Step 1'!$D$122:$U$145,9,FALSE)</f>
        <v>12072</v>
      </c>
      <c r="F70" s="75">
        <v>1</v>
      </c>
      <c r="G70" s="66" t="str">
        <f>INDEX('Allocator Summary'!$B$8:$B$28,MATCH($F70,'Allocator Summary'!$A$8:$A$28))</f>
        <v>T/D Oper. Expense</v>
      </c>
      <c r="H70" s="76">
        <f>INDEX('Allocator Summary'!C$8:C$28,MATCH($F70,'Allocator Summary'!$A$8:$A$28))*$E70</f>
        <v>0</v>
      </c>
      <c r="I70" s="76">
        <f>INDEX('Allocator Summary'!D$8:D$28,MATCH($F70,'Allocator Summary'!$A$8:$A$28))*$E70</f>
        <v>0</v>
      </c>
      <c r="J70" s="76">
        <f>INDEX('Allocator Summary'!E$8:E$28,MATCH($F70,'Allocator Summary'!$A$8:$A$28))*$E70</f>
        <v>0</v>
      </c>
      <c r="K70" s="76">
        <f>INDEX('Allocator Summary'!F$8:F$28,MATCH($F70,'Allocator Summary'!$A$8:$A$28))*$E70</f>
        <v>2467.9856913806284</v>
      </c>
      <c r="L70" s="76">
        <f>INDEX('Allocator Summary'!G$8:G$28,MATCH($F70,'Allocator Summary'!$A$8:$A$28))*$E70</f>
        <v>7496.2599897261398</v>
      </c>
      <c r="M70" s="76">
        <f>INDEX('Allocator Summary'!H$8:H$28,MATCH($F70,'Allocator Summary'!$A$8:$A$28))*$E70</f>
        <v>105.95677328332391</v>
      </c>
      <c r="N70" s="76">
        <f>INDEX('Allocator Summary'!I$8:I$28,MATCH($F70,'Allocator Summary'!$A$8:$A$28))*$E70</f>
        <v>2001.7975456099057</v>
      </c>
      <c r="O70" s="76">
        <f>INDEX('Allocator Summary'!J$8:J$26,MATCH($F70,'Allocator Summary'!$A$8:$A$28))*$E70</f>
        <v>0</v>
      </c>
      <c r="P70" s="76">
        <f>INDEX('Allocator Summary'!K$8:K$26,MATCH($F70,'Allocator Summary'!$A$8:$A$28))*$E70</f>
        <v>0</v>
      </c>
      <c r="Q70" s="76">
        <f>INDEX('Allocator Summary'!L$8:L$28,MATCH($F70,'Allocator Summary'!$A$8:$A$28))*$E70</f>
        <v>0</v>
      </c>
      <c r="R70" s="76">
        <f t="shared" si="24"/>
        <v>12071.999999999996</v>
      </c>
      <c r="S70" s="76">
        <f t="shared" si="23"/>
        <v>0</v>
      </c>
    </row>
    <row r="71" spans="1:19" x14ac:dyDescent="0.25">
      <c r="E71" s="187">
        <f>SUM(E62:E70)</f>
        <v>463513.22702320729</v>
      </c>
      <c r="H71" s="3">
        <f t="shared" ref="H71:S71" si="26">SUM(H62:H70)</f>
        <v>0</v>
      </c>
      <c r="I71" s="3">
        <f t="shared" si="26"/>
        <v>0</v>
      </c>
      <c r="J71" s="3">
        <f t="shared" si="26"/>
        <v>0</v>
      </c>
      <c r="K71" s="3">
        <f t="shared" si="26"/>
        <v>94760.107029401624</v>
      </c>
      <c r="L71" s="3">
        <f t="shared" si="26"/>
        <v>287824.35871793551</v>
      </c>
      <c r="M71" s="3">
        <f t="shared" si="26"/>
        <v>4068.2874345195337</v>
      </c>
      <c r="N71" s="3">
        <f t="shared" si="26"/>
        <v>76860.473841350511</v>
      </c>
      <c r="O71" s="3">
        <f t="shared" si="26"/>
        <v>0</v>
      </c>
      <c r="P71" s="3">
        <f t="shared" si="26"/>
        <v>0</v>
      </c>
      <c r="Q71" s="3">
        <f t="shared" si="26"/>
        <v>0</v>
      </c>
      <c r="R71" s="3">
        <f t="shared" si="26"/>
        <v>463513.22702320729</v>
      </c>
      <c r="S71" s="3">
        <f t="shared" si="26"/>
        <v>0</v>
      </c>
    </row>
    <row r="73" spans="1:19" x14ac:dyDescent="0.25">
      <c r="B73" t="s">
        <v>8</v>
      </c>
    </row>
    <row r="74" spans="1:19" x14ac:dyDescent="0.25">
      <c r="B74" s="70"/>
      <c r="C74" t="s">
        <v>7619</v>
      </c>
      <c r="E74" s="306">
        <f>VLOOKUP($C74,'COSS Step 1'!$D$149:$U$150,9,FALSE)</f>
        <v>0</v>
      </c>
      <c r="F74" s="36">
        <v>2</v>
      </c>
      <c r="G74" t="str">
        <f>INDEX('Allocator Summary'!$B$8:$B$28,MATCH($F74,'Allocator Summary'!$A$8:$A$28))</f>
        <v>T/D Maint.. Expense</v>
      </c>
      <c r="H74" s="64">
        <f>INDEX('Allocator Summary'!C$8:C$28,MATCH($F74,'Allocator Summary'!$A$8:$A$28))*$E74</f>
        <v>0</v>
      </c>
      <c r="I74" s="64">
        <f>INDEX('Allocator Summary'!D$8:D$28,MATCH($F74,'Allocator Summary'!$A$8:$A$28))*$E74</f>
        <v>0</v>
      </c>
      <c r="J74" s="64">
        <f>INDEX('Allocator Summary'!E$8:E$28,MATCH($F74,'Allocator Summary'!$A$8:$A$28))*$E74</f>
        <v>0</v>
      </c>
      <c r="K74" s="64">
        <f>INDEX('Allocator Summary'!F$8:F$28,MATCH($F74,'Allocator Summary'!$A$8:$A$28))*$E74</f>
        <v>0</v>
      </c>
      <c r="L74" s="64">
        <f>INDEX('Allocator Summary'!G$8:G$28,MATCH($F74,'Allocator Summary'!$A$8:$A$28))*$E74</f>
        <v>0</v>
      </c>
      <c r="M74" s="64">
        <f>INDEX('Allocator Summary'!H$8:H$28,MATCH($F74,'Allocator Summary'!$A$8:$A$28))*$E74</f>
        <v>0</v>
      </c>
      <c r="N74" s="64">
        <f>INDEX('Allocator Summary'!I$8:I$28,MATCH($F74,'Allocator Summary'!$A$8:$A$28))*$E74</f>
        <v>0</v>
      </c>
      <c r="O74" s="64">
        <f>INDEX('Allocator Summary'!J$8:J$26,MATCH($F74,'Allocator Summary'!$A$8:$A$28))*$E74</f>
        <v>0</v>
      </c>
      <c r="P74" s="64">
        <f>INDEX('Allocator Summary'!K$8:K$26,MATCH($F74,'Allocator Summary'!$A$8:$A$28))*$E74</f>
        <v>0</v>
      </c>
      <c r="Q74" s="64">
        <f>INDEX('Allocator Summary'!L$8:L$28,MATCH($F74,'Allocator Summary'!$A$8:$A$28))*$E74</f>
        <v>0</v>
      </c>
      <c r="R74" s="64">
        <f t="shared" ref="R74:R75" si="27">SUM(H74:Q74)</f>
        <v>0</v>
      </c>
      <c r="S74" s="64">
        <f>R74-E74</f>
        <v>0</v>
      </c>
    </row>
    <row r="75" spans="1:19" x14ac:dyDescent="0.25">
      <c r="B75" s="70"/>
      <c r="C75" s="66" t="s">
        <v>7868</v>
      </c>
      <c r="D75" s="66"/>
      <c r="E75" s="306">
        <f>VLOOKUP($C75,'COSS Step 1'!$D$149:$U$150,9,FALSE)</f>
        <v>1208343</v>
      </c>
      <c r="F75" s="75">
        <v>2</v>
      </c>
      <c r="G75" s="66" t="str">
        <f>INDEX('Allocator Summary'!$B$8:$B$28,MATCH($F75,'Allocator Summary'!$A$8:$A$28))</f>
        <v>T/D Maint.. Expense</v>
      </c>
      <c r="H75" s="76">
        <f>INDEX('Allocator Summary'!C$8:C$28,MATCH($F75,'Allocator Summary'!$A$8:$A$28))*$E75</f>
        <v>0</v>
      </c>
      <c r="I75" s="76">
        <f>INDEX('Allocator Summary'!D$8:D$28,MATCH($F75,'Allocator Summary'!$A$8:$A$28))*$E75</f>
        <v>0</v>
      </c>
      <c r="J75" s="76">
        <f>INDEX('Allocator Summary'!E$8:E$28,MATCH($F75,'Allocator Summary'!$A$8:$A$28))*$E75</f>
        <v>0</v>
      </c>
      <c r="K75" s="76">
        <f>INDEX('Allocator Summary'!F$8:F$28,MATCH($F75,'Allocator Summary'!$A$8:$A$28))*$E75</f>
        <v>141434.92834194074</v>
      </c>
      <c r="L75" s="76">
        <f>INDEX('Allocator Summary'!G$8:G$28,MATCH($F75,'Allocator Summary'!$A$8:$A$28))*$E75</f>
        <v>429594.46571441169</v>
      </c>
      <c r="M75" s="76">
        <f>INDEX('Allocator Summary'!H$8:H$28,MATCH($F75,'Allocator Summary'!$A$8:$A$28))*$E75</f>
        <v>0</v>
      </c>
      <c r="N75" s="76">
        <f>INDEX('Allocator Summary'!I$8:I$28,MATCH($F75,'Allocator Summary'!$A$8:$A$28))*$E75</f>
        <v>0</v>
      </c>
      <c r="O75" s="76">
        <f>INDEX('Allocator Summary'!J$8:J$26,MATCH($F75,'Allocator Summary'!$A$8:$A$28))*$E75</f>
        <v>16382.038778686836</v>
      </c>
      <c r="P75" s="76">
        <f>INDEX('Allocator Summary'!K$8:K$26,MATCH($F75,'Allocator Summary'!$A$8:$A$28))*$E75</f>
        <v>0</v>
      </c>
      <c r="Q75" s="76">
        <f>INDEX('Allocator Summary'!L$8:L$28,MATCH($F75,'Allocator Summary'!$A$8:$A$28))*$E75</f>
        <v>620931.56716496067</v>
      </c>
      <c r="R75" s="76">
        <f t="shared" si="27"/>
        <v>1208343</v>
      </c>
      <c r="S75" s="76">
        <f>R75-E75</f>
        <v>0</v>
      </c>
    </row>
    <row r="76" spans="1:19" x14ac:dyDescent="0.25">
      <c r="B76" s="70"/>
      <c r="E76" s="187">
        <f>SUM(E74:E75)</f>
        <v>1208343</v>
      </c>
      <c r="H76" s="3">
        <f t="shared" ref="H76:S76" si="28">SUM(H74:H75)</f>
        <v>0</v>
      </c>
      <c r="I76" s="3">
        <f t="shared" si="28"/>
        <v>0</v>
      </c>
      <c r="J76" s="3">
        <f t="shared" si="28"/>
        <v>0</v>
      </c>
      <c r="K76" s="3">
        <f t="shared" si="28"/>
        <v>141434.92834194074</v>
      </c>
      <c r="L76" s="3">
        <f t="shared" si="28"/>
        <v>429594.46571441169</v>
      </c>
      <c r="M76" s="3">
        <f t="shared" si="28"/>
        <v>0</v>
      </c>
      <c r="N76" s="3">
        <f t="shared" si="28"/>
        <v>0</v>
      </c>
      <c r="O76" s="3">
        <f t="shared" si="28"/>
        <v>16382.038778686836</v>
      </c>
      <c r="P76" s="3">
        <f t="shared" si="28"/>
        <v>0</v>
      </c>
      <c r="Q76" s="3">
        <f t="shared" si="28"/>
        <v>620931.56716496067</v>
      </c>
      <c r="R76" s="3">
        <f t="shared" si="28"/>
        <v>1208343</v>
      </c>
      <c r="S76" s="3">
        <f t="shared" si="28"/>
        <v>0</v>
      </c>
    </row>
    <row r="78" spans="1:19" x14ac:dyDescent="0.25">
      <c r="C78" s="1" t="s">
        <v>7011</v>
      </c>
      <c r="D78" s="1"/>
      <c r="E78" s="307">
        <f>E71+E76</f>
        <v>1671856.2270232073</v>
      </c>
      <c r="H78" s="82">
        <f t="shared" ref="H78:S78" si="29">H71+H76</f>
        <v>0</v>
      </c>
      <c r="I78" s="82">
        <f t="shared" si="29"/>
        <v>0</v>
      </c>
      <c r="J78" s="82">
        <f t="shared" si="29"/>
        <v>0</v>
      </c>
      <c r="K78" s="82">
        <f t="shared" si="29"/>
        <v>236195.03537134238</v>
      </c>
      <c r="L78" s="82">
        <f t="shared" si="29"/>
        <v>717418.8244323472</v>
      </c>
      <c r="M78" s="82">
        <f t="shared" si="29"/>
        <v>4068.2874345195337</v>
      </c>
      <c r="N78" s="82">
        <f t="shared" si="29"/>
        <v>76860.473841350511</v>
      </c>
      <c r="O78" s="82">
        <f t="shared" si="29"/>
        <v>16382.038778686836</v>
      </c>
      <c r="P78" s="82">
        <f t="shared" si="29"/>
        <v>0</v>
      </c>
      <c r="Q78" s="82">
        <f t="shared" si="29"/>
        <v>620931.56716496067</v>
      </c>
      <c r="R78" s="82">
        <f t="shared" si="29"/>
        <v>1671856.2270232073</v>
      </c>
      <c r="S78" s="82">
        <f t="shared" si="29"/>
        <v>0</v>
      </c>
    </row>
    <row r="80" spans="1:19" x14ac:dyDescent="0.25">
      <c r="A80" s="4" t="s">
        <v>7053</v>
      </c>
    </row>
    <row r="81" spans="1:19" x14ac:dyDescent="0.25">
      <c r="B81" t="s">
        <v>6999</v>
      </c>
    </row>
    <row r="82" spans="1:19" x14ac:dyDescent="0.25">
      <c r="B82" s="70"/>
      <c r="C82" s="66" t="s">
        <v>7143</v>
      </c>
      <c r="D82" s="66"/>
      <c r="E82" s="306">
        <f>VLOOKUP($C82,'COSS Step 1'!$D$122:$U$145,10,FALSE)</f>
        <v>238110.96999999997</v>
      </c>
      <c r="F82" s="75" t="s">
        <v>2211</v>
      </c>
      <c r="G82" s="66" t="str">
        <f>INDEX('Allocator Summary'!$B$8:$B$28,MATCH($F82,'Allocator Summary'!$A$8:$A$28))</f>
        <v>Mains</v>
      </c>
      <c r="H82" s="76">
        <f>INDEX('Allocator Summary'!C$8:C$28,MATCH($F82,'Allocator Summary'!$A$8:$A$28))*$E82</f>
        <v>0</v>
      </c>
      <c r="I82" s="76">
        <f>INDEX('Allocator Summary'!D$8:D$28,MATCH($F82,'Allocator Summary'!$A$8:$A$28))*$E82</f>
        <v>0</v>
      </c>
      <c r="J82" s="76">
        <f>INDEX('Allocator Summary'!E$8:E$28,MATCH($F82,'Allocator Summary'!$A$8:$A$28))*$E82</f>
        <v>0</v>
      </c>
      <c r="K82" s="76">
        <f>INDEX('Allocator Summary'!F$8:F$28,MATCH($F82,'Allocator Summary'!$A$8:$A$28))*$E82</f>
        <v>58976.312480433429</v>
      </c>
      <c r="L82" s="76">
        <f>INDEX('Allocator Summary'!G$8:G$28,MATCH($F82,'Allocator Summary'!$A$8:$A$28))*$E82</f>
        <v>179134.65751956654</v>
      </c>
      <c r="M82" s="76">
        <f>INDEX('Allocator Summary'!H$8:H$28,MATCH($F82,'Allocator Summary'!$A$8:$A$28))*$E82</f>
        <v>0</v>
      </c>
      <c r="N82" s="76">
        <f>INDEX('Allocator Summary'!I$8:I$28,MATCH($F82,'Allocator Summary'!$A$8:$A$28))*$E82</f>
        <v>0</v>
      </c>
      <c r="O82" s="76">
        <f>INDEX('Allocator Summary'!J$8:J$26,MATCH($F82,'Allocator Summary'!$A$8:$A$28))*$E82</f>
        <v>0</v>
      </c>
      <c r="P82" s="76">
        <f>INDEX('Allocator Summary'!K$8:K$26,MATCH($F82,'Allocator Summary'!$A$8:$A$28))*$E82</f>
        <v>0</v>
      </c>
      <c r="Q82" s="76">
        <f>INDEX('Allocator Summary'!L$8:L$28,MATCH($F82,'Allocator Summary'!$A$8:$A$28))*$E82</f>
        <v>0</v>
      </c>
      <c r="R82" s="76">
        <f>SUM(H82:Q82)</f>
        <v>238110.96999999997</v>
      </c>
      <c r="S82" s="76">
        <f>R82-E82</f>
        <v>0</v>
      </c>
    </row>
    <row r="83" spans="1:19" x14ac:dyDescent="0.25">
      <c r="B83" s="70"/>
      <c r="E83" s="187">
        <f>SUM(E82:E82)</f>
        <v>238110.96999999997</v>
      </c>
      <c r="H83" s="3">
        <f t="shared" ref="H83:S83" si="30">SUM(H82:H82)</f>
        <v>0</v>
      </c>
      <c r="I83" s="3">
        <f t="shared" si="30"/>
        <v>0</v>
      </c>
      <c r="J83" s="3">
        <f t="shared" si="30"/>
        <v>0</v>
      </c>
      <c r="K83" s="3">
        <f t="shared" si="30"/>
        <v>58976.312480433429</v>
      </c>
      <c r="L83" s="3">
        <f t="shared" si="30"/>
        <v>179134.65751956654</v>
      </c>
      <c r="M83" s="3">
        <f t="shared" si="30"/>
        <v>0</v>
      </c>
      <c r="N83" s="3">
        <f t="shared" si="30"/>
        <v>0</v>
      </c>
      <c r="O83" s="3">
        <f t="shared" si="30"/>
        <v>0</v>
      </c>
      <c r="P83" s="3">
        <f t="shared" si="30"/>
        <v>0</v>
      </c>
      <c r="Q83" s="3">
        <f t="shared" si="30"/>
        <v>0</v>
      </c>
      <c r="R83" s="3">
        <f t="shared" si="30"/>
        <v>238110.96999999997</v>
      </c>
      <c r="S83" s="3">
        <f t="shared" si="30"/>
        <v>0</v>
      </c>
    </row>
    <row r="84" spans="1:19" x14ac:dyDescent="0.25">
      <c r="B84" t="s">
        <v>8</v>
      </c>
    </row>
    <row r="85" spans="1:19" x14ac:dyDescent="0.25">
      <c r="B85" s="70"/>
      <c r="C85" t="s">
        <v>7143</v>
      </c>
      <c r="E85" s="306">
        <f>VLOOKUP($C85,'COSS Step 1'!$D$149:$U$150,10,FALSE)</f>
        <v>241109.11</v>
      </c>
      <c r="F85" s="36" t="s">
        <v>2211</v>
      </c>
      <c r="G85" t="str">
        <f>INDEX('Allocator Summary'!$B$8:$B$28,MATCH($F85,'Allocator Summary'!$A$8:$A$28))</f>
        <v>Mains</v>
      </c>
      <c r="H85" s="64">
        <f>INDEX('Allocator Summary'!C$8:C$28,MATCH($F85,'Allocator Summary'!$A$8:$A$28))*$E85</f>
        <v>0</v>
      </c>
      <c r="I85" s="64">
        <f>INDEX('Allocator Summary'!D$8:D$28,MATCH($F85,'Allocator Summary'!$A$8:$A$28))*$E85</f>
        <v>0</v>
      </c>
      <c r="J85" s="64">
        <f>INDEX('Allocator Summary'!E$8:E$28,MATCH($F85,'Allocator Summary'!$A$8:$A$28))*$E85</f>
        <v>0</v>
      </c>
      <c r="K85" s="64">
        <f>INDEX('Allocator Summary'!F$8:F$28,MATCH($F85,'Allocator Summary'!$A$8:$A$28))*$E85</f>
        <v>59718.90422872662</v>
      </c>
      <c r="L85" s="64">
        <f>INDEX('Allocator Summary'!G$8:G$28,MATCH($F85,'Allocator Summary'!$A$8:$A$28))*$E85</f>
        <v>181390.20577127338</v>
      </c>
      <c r="M85" s="64">
        <f>INDEX('Allocator Summary'!H$8:H$28,MATCH($F85,'Allocator Summary'!$A$8:$A$28))*$E85</f>
        <v>0</v>
      </c>
      <c r="N85" s="64">
        <f>INDEX('Allocator Summary'!I$8:I$28,MATCH($F85,'Allocator Summary'!$A$8:$A$28))*$E85</f>
        <v>0</v>
      </c>
      <c r="O85" s="64">
        <f>INDEX('Allocator Summary'!J$8:J$26,MATCH($F85,'Allocator Summary'!$A$8:$A$28))*$E85</f>
        <v>0</v>
      </c>
      <c r="P85" s="64">
        <f>INDEX('Allocator Summary'!K$8:K$26,MATCH($F85,'Allocator Summary'!$A$8:$A$28))*$E85</f>
        <v>0</v>
      </c>
      <c r="Q85" s="64">
        <f>INDEX('Allocator Summary'!L$8:L$28,MATCH($F85,'Allocator Summary'!$A$8:$A$28))*$E85</f>
        <v>0</v>
      </c>
      <c r="R85" s="64">
        <f>SUM(H85:Q85)</f>
        <v>241109.11</v>
      </c>
      <c r="S85" s="64">
        <f>R85-E85</f>
        <v>0</v>
      </c>
    </row>
    <row r="86" spans="1:19" x14ac:dyDescent="0.25">
      <c r="B86" s="70"/>
      <c r="C86" t="s">
        <v>7868</v>
      </c>
      <c r="E86" s="306">
        <f>VLOOKUP($C86,'COSS Step 1'!$D$149:$U$150,10,FALSE)</f>
        <v>53100</v>
      </c>
      <c r="F86" s="75" t="s">
        <v>2211</v>
      </c>
      <c r="G86" s="66" t="str">
        <f>INDEX('Allocator Summary'!$B$8:$B$28,MATCH($F86,'Allocator Summary'!$A$8:$A$28))</f>
        <v>Mains</v>
      </c>
      <c r="H86" s="76">
        <f>INDEX('Allocator Summary'!C$8:C$28,MATCH($F86,'Allocator Summary'!$A$8:$A$28))*$E86</f>
        <v>0</v>
      </c>
      <c r="I86" s="76">
        <f>INDEX('Allocator Summary'!D$8:D$28,MATCH($F86,'Allocator Summary'!$A$8:$A$28))*$E86</f>
        <v>0</v>
      </c>
      <c r="J86" s="76">
        <f>INDEX('Allocator Summary'!E$8:E$28,MATCH($F86,'Allocator Summary'!$A$8:$A$28))*$E86</f>
        <v>0</v>
      </c>
      <c r="K86" s="76">
        <f>INDEX('Allocator Summary'!F$8:F$28,MATCH($F86,'Allocator Summary'!$A$8:$A$28))*$E86</f>
        <v>13152.028202274827</v>
      </c>
      <c r="L86" s="76">
        <f>INDEX('Allocator Summary'!G$8:G$28,MATCH($F86,'Allocator Summary'!$A$8:$A$28))*$E86</f>
        <v>39947.971797725171</v>
      </c>
      <c r="M86" s="76">
        <f>INDEX('Allocator Summary'!H$8:H$28,MATCH($F86,'Allocator Summary'!$A$8:$A$28))*$E86</f>
        <v>0</v>
      </c>
      <c r="N86" s="76">
        <f>INDEX('Allocator Summary'!I$8:I$28,MATCH($F86,'Allocator Summary'!$A$8:$A$28))*$E86</f>
        <v>0</v>
      </c>
      <c r="O86" s="76">
        <f>INDEX('Allocator Summary'!J$8:J$26,MATCH($F86,'Allocator Summary'!$A$8:$A$28))*$E86</f>
        <v>0</v>
      </c>
      <c r="P86" s="76">
        <f>INDEX('Allocator Summary'!K$8:K$26,MATCH($F86,'Allocator Summary'!$A$8:$A$28))*$E86</f>
        <v>0</v>
      </c>
      <c r="Q86" s="76">
        <f>INDEX('Allocator Summary'!L$8:L$28,MATCH($F86,'Allocator Summary'!$A$8:$A$28))*$E86</f>
        <v>0</v>
      </c>
      <c r="R86" s="76">
        <f>SUM(H86:Q86)</f>
        <v>53100</v>
      </c>
      <c r="S86" s="76">
        <f>R86-E86</f>
        <v>0</v>
      </c>
    </row>
    <row r="87" spans="1:19" x14ac:dyDescent="0.25">
      <c r="B87" s="70"/>
      <c r="E87" s="187">
        <f>SUM(E85:E86)</f>
        <v>294209.11</v>
      </c>
      <c r="H87" s="3">
        <f t="shared" ref="H87:S87" si="31">SUM(H85:H86)</f>
        <v>0</v>
      </c>
      <c r="I87" s="3">
        <f t="shared" si="31"/>
        <v>0</v>
      </c>
      <c r="J87" s="3">
        <f t="shared" si="31"/>
        <v>0</v>
      </c>
      <c r="K87" s="3">
        <f t="shared" si="31"/>
        <v>72870.932431001449</v>
      </c>
      <c r="L87" s="3">
        <f t="shared" si="31"/>
        <v>221338.17756899854</v>
      </c>
      <c r="M87" s="3">
        <f t="shared" si="31"/>
        <v>0</v>
      </c>
      <c r="N87" s="3">
        <f t="shared" si="31"/>
        <v>0</v>
      </c>
      <c r="O87" s="3">
        <f t="shared" si="31"/>
        <v>0</v>
      </c>
      <c r="P87" s="3">
        <f t="shared" si="31"/>
        <v>0</v>
      </c>
      <c r="Q87" s="3">
        <f t="shared" si="31"/>
        <v>0</v>
      </c>
      <c r="R87" s="3">
        <f t="shared" si="31"/>
        <v>294209.11</v>
      </c>
      <c r="S87" s="3">
        <f t="shared" si="31"/>
        <v>0</v>
      </c>
    </row>
    <row r="89" spans="1:19" x14ac:dyDescent="0.25">
      <c r="C89" s="1" t="s">
        <v>7053</v>
      </c>
      <c r="D89" s="1"/>
      <c r="E89" s="307">
        <f>E87+E83</f>
        <v>532320.07999999996</v>
      </c>
      <c r="H89" s="82">
        <f>H87+H83</f>
        <v>0</v>
      </c>
      <c r="I89" s="82">
        <f t="shared" ref="I89:R89" si="32">I87+I83</f>
        <v>0</v>
      </c>
      <c r="J89" s="82">
        <f t="shared" si="32"/>
        <v>0</v>
      </c>
      <c r="K89" s="82">
        <f t="shared" si="32"/>
        <v>131847.24491143489</v>
      </c>
      <c r="L89" s="82">
        <f t="shared" si="32"/>
        <v>400472.83508856507</v>
      </c>
      <c r="M89" s="82">
        <f t="shared" si="32"/>
        <v>0</v>
      </c>
      <c r="N89" s="82">
        <f t="shared" si="32"/>
        <v>0</v>
      </c>
      <c r="O89" s="82">
        <f t="shared" si="32"/>
        <v>0</v>
      </c>
      <c r="P89" s="82">
        <f t="shared" si="32"/>
        <v>0</v>
      </c>
      <c r="Q89" s="82">
        <f t="shared" si="32"/>
        <v>0</v>
      </c>
      <c r="R89" s="82">
        <f t="shared" si="32"/>
        <v>532320.07999999996</v>
      </c>
      <c r="S89" s="82">
        <f>S87+S83</f>
        <v>0</v>
      </c>
    </row>
    <row r="91" spans="1:19" x14ac:dyDescent="0.25">
      <c r="A91" s="4" t="s">
        <v>7054</v>
      </c>
    </row>
    <row r="92" spans="1:19" x14ac:dyDescent="0.25">
      <c r="B92" t="s">
        <v>6999</v>
      </c>
    </row>
    <row r="93" spans="1:19" x14ac:dyDescent="0.25">
      <c r="B93" s="70"/>
      <c r="C93" t="str">
        <f>'COSS Step 1'!D126</f>
        <v>Salaries and Wages</v>
      </c>
      <c r="E93" s="306">
        <f>VLOOKUP($C93,'COSS Step 1'!$D$122:$U$145,13,FALSE)</f>
        <v>0</v>
      </c>
      <c r="F93" s="36" t="s">
        <v>7008</v>
      </c>
      <c r="G93" t="str">
        <f>INDEX('Allocator Summary'!$B$8:$B$28,MATCH($F93,'Allocator Summary'!$A$8:$A$28))</f>
        <v>Storage</v>
      </c>
      <c r="H93" s="64">
        <f>INDEX('Allocator Summary'!C$8:C$28,MATCH($F93,'Allocator Summary'!$A$8:$A$28))*$E93</f>
        <v>0</v>
      </c>
      <c r="I93" s="64">
        <f>INDEX('Allocator Summary'!D$8:D$28,MATCH($F93,'Allocator Summary'!$A$8:$A$28))*$E93</f>
        <v>0</v>
      </c>
      <c r="J93" s="64">
        <f>INDEX('Allocator Summary'!E$8:E$28,MATCH($F93,'Allocator Summary'!$A$8:$A$28))*$E93</f>
        <v>0</v>
      </c>
      <c r="K93" s="64">
        <f>INDEX('Allocator Summary'!F$8:F$28,MATCH($F93,'Allocator Summary'!$A$8:$A$28))*$E93</f>
        <v>0</v>
      </c>
      <c r="L93" s="64">
        <f>INDEX('Allocator Summary'!G$8:G$28,MATCH($F93,'Allocator Summary'!$A$8:$A$28))*$E93</f>
        <v>0</v>
      </c>
      <c r="M93" s="64">
        <f>INDEX('Allocator Summary'!H$8:H$28,MATCH($F93,'Allocator Summary'!$A$8:$A$28))*$E93</f>
        <v>0</v>
      </c>
      <c r="N93" s="64">
        <f>INDEX('Allocator Summary'!I$8:I$28,MATCH($F93,'Allocator Summary'!$A$8:$A$28))*$E93</f>
        <v>0</v>
      </c>
      <c r="O93" s="64">
        <f>INDEX('Allocator Summary'!J$8:J$26,MATCH($F93,'Allocator Summary'!$A$8:$A$28))*$E93</f>
        <v>0</v>
      </c>
      <c r="P93" s="64">
        <f>INDEX('Allocator Summary'!K$8:K$26,MATCH($F93,'Allocator Summary'!$A$8:$A$28))*$E93</f>
        <v>0</v>
      </c>
      <c r="Q93" s="64">
        <f>INDEX('Allocator Summary'!L$8:L$28,MATCH($F93,'Allocator Summary'!$A$8:$A$28))*$E93</f>
        <v>0</v>
      </c>
      <c r="R93" s="64">
        <f>SUM(H93:Q93)</f>
        <v>0</v>
      </c>
      <c r="S93" s="64">
        <f>R93-E93</f>
        <v>0</v>
      </c>
    </row>
    <row r="94" spans="1:19" x14ac:dyDescent="0.25">
      <c r="B94" s="70"/>
      <c r="C94" s="66" t="s">
        <v>7799</v>
      </c>
      <c r="D94" s="81"/>
      <c r="E94" s="306">
        <f>VLOOKUP($C94,'COSS Step 1'!$D$122:$U$145,13,FALSE)</f>
        <v>2532</v>
      </c>
      <c r="F94" s="75" t="s">
        <v>7008</v>
      </c>
      <c r="G94" s="66" t="str">
        <f>INDEX('Allocator Summary'!$B$8:$B$28,MATCH($F94,'Allocator Summary'!$A$8:$A$28))</f>
        <v>Storage</v>
      </c>
      <c r="H94" s="76">
        <f>INDEX('Allocator Summary'!C$8:C$28,MATCH($F94,'Allocator Summary'!$A$8:$A$28))*$E94</f>
        <v>0</v>
      </c>
      <c r="I94" s="76">
        <f>INDEX('Allocator Summary'!D$8:D$28,MATCH($F94,'Allocator Summary'!$A$8:$A$28))*$E94</f>
        <v>0</v>
      </c>
      <c r="J94" s="76">
        <f>INDEX('Allocator Summary'!E$8:E$28,MATCH($F94,'Allocator Summary'!$A$8:$A$28))*$E94</f>
        <v>0</v>
      </c>
      <c r="K94" s="76">
        <f>INDEX('Allocator Summary'!F$8:F$28,MATCH($F94,'Allocator Summary'!$A$8:$A$28))*$E94</f>
        <v>0</v>
      </c>
      <c r="L94" s="76">
        <f>INDEX('Allocator Summary'!G$8:G$28,MATCH($F94,'Allocator Summary'!$A$8:$A$28))*$E94</f>
        <v>0</v>
      </c>
      <c r="M94" s="76">
        <f>INDEX('Allocator Summary'!H$8:H$28,MATCH($F94,'Allocator Summary'!$A$8:$A$28))*$E94</f>
        <v>2532</v>
      </c>
      <c r="N94" s="76">
        <f>INDEX('Allocator Summary'!I$8:I$28,MATCH($F94,'Allocator Summary'!$A$8:$A$28))*$E94</f>
        <v>0</v>
      </c>
      <c r="O94" s="76">
        <f>INDEX('Allocator Summary'!J$8:J$26,MATCH($F94,'Allocator Summary'!$A$8:$A$28))*$E94</f>
        <v>0</v>
      </c>
      <c r="P94" s="76">
        <f>INDEX('Allocator Summary'!K$8:K$26,MATCH($F94,'Allocator Summary'!$A$8:$A$28))*$E94</f>
        <v>0</v>
      </c>
      <c r="Q94" s="76">
        <f>INDEX('Allocator Summary'!L$8:L$28,MATCH($F94,'Allocator Summary'!$A$8:$A$28))*$E94</f>
        <v>0</v>
      </c>
      <c r="R94" s="76">
        <f>SUM(H94:Q94)</f>
        <v>2532</v>
      </c>
      <c r="S94" s="76">
        <f>R94-E94</f>
        <v>0</v>
      </c>
    </row>
    <row r="95" spans="1:19" x14ac:dyDescent="0.25">
      <c r="E95" s="187">
        <f>SUM(E93:E94)</f>
        <v>2532</v>
      </c>
      <c r="H95" s="3">
        <f t="shared" ref="H95:S95" si="33">SUM(H93:H94)</f>
        <v>0</v>
      </c>
      <c r="I95" s="3">
        <f t="shared" si="33"/>
        <v>0</v>
      </c>
      <c r="J95" s="3">
        <f t="shared" si="33"/>
        <v>0</v>
      </c>
      <c r="K95" s="3">
        <f t="shared" si="33"/>
        <v>0</v>
      </c>
      <c r="L95" s="3">
        <f t="shared" si="33"/>
        <v>0</v>
      </c>
      <c r="M95" s="3">
        <f t="shared" si="33"/>
        <v>2532</v>
      </c>
      <c r="N95" s="3">
        <f t="shared" si="33"/>
        <v>0</v>
      </c>
      <c r="O95" s="3">
        <f t="shared" si="33"/>
        <v>0</v>
      </c>
      <c r="P95" s="3">
        <f t="shared" si="33"/>
        <v>0</v>
      </c>
      <c r="Q95" s="3">
        <f t="shared" si="33"/>
        <v>0</v>
      </c>
      <c r="R95" s="3">
        <f t="shared" si="33"/>
        <v>2532</v>
      </c>
      <c r="S95" s="3">
        <f t="shared" si="33"/>
        <v>0</v>
      </c>
    </row>
    <row r="97" spans="1:19" x14ac:dyDescent="0.25">
      <c r="B97" t="s">
        <v>8</v>
      </c>
    </row>
    <row r="98" spans="1:19" x14ac:dyDescent="0.25">
      <c r="B98" s="70"/>
      <c r="C98" t="s">
        <v>7619</v>
      </c>
      <c r="E98" s="306">
        <f>VLOOKUP($C98,'COSS Step 1'!$D$149:$U$150,13,FALSE)</f>
        <v>0</v>
      </c>
      <c r="F98" s="36" t="s">
        <v>7008</v>
      </c>
      <c r="G98" t="str">
        <f>INDEX('Allocator Summary'!$B$8:$B$28,MATCH($F98,'Allocator Summary'!$A$8:$A$28))</f>
        <v>Storage</v>
      </c>
      <c r="H98" s="64">
        <f>INDEX('Allocator Summary'!C$8:C$28,MATCH($F98,'Allocator Summary'!$A$8:$A$28))*$E98</f>
        <v>0</v>
      </c>
      <c r="I98" s="64">
        <f>INDEX('Allocator Summary'!D$8:D$28,MATCH($F98,'Allocator Summary'!$A$8:$A$28))*$E98</f>
        <v>0</v>
      </c>
      <c r="J98" s="64">
        <f>INDEX('Allocator Summary'!E$8:E$28,MATCH($F98,'Allocator Summary'!$A$8:$A$28))*$E98</f>
        <v>0</v>
      </c>
      <c r="K98" s="64">
        <f>INDEX('Allocator Summary'!F$8:F$28,MATCH($F98,'Allocator Summary'!$A$8:$A$28))*$E98</f>
        <v>0</v>
      </c>
      <c r="L98" s="64">
        <f>INDEX('Allocator Summary'!G$8:G$28,MATCH($F98,'Allocator Summary'!$A$8:$A$28))*$E98</f>
        <v>0</v>
      </c>
      <c r="M98" s="64">
        <f>INDEX('Allocator Summary'!H$8:H$28,MATCH($F98,'Allocator Summary'!$A$8:$A$28))*$E98</f>
        <v>0</v>
      </c>
      <c r="N98" s="64">
        <f>INDEX('Allocator Summary'!I$8:I$28,MATCH($F98,'Allocator Summary'!$A$8:$A$28))*$E98</f>
        <v>0</v>
      </c>
      <c r="O98" s="64">
        <f>INDEX('Allocator Summary'!J$8:J$26,MATCH($F98,'Allocator Summary'!$A$8:$A$28))*$E98</f>
        <v>0</v>
      </c>
      <c r="P98" s="64">
        <f>INDEX('Allocator Summary'!K$8:K$26,MATCH($F98,'Allocator Summary'!$A$8:$A$28))*$E98</f>
        <v>0</v>
      </c>
      <c r="Q98" s="64">
        <f>INDEX('Allocator Summary'!L$8:L$28,MATCH($F98,'Allocator Summary'!$A$8:$A$28))*$E98</f>
        <v>0</v>
      </c>
      <c r="R98" s="64">
        <f t="shared" ref="R98" si="34">SUM(H98:Q98)</f>
        <v>0</v>
      </c>
      <c r="S98" s="64">
        <f>R98-E98</f>
        <v>0</v>
      </c>
    </row>
    <row r="99" spans="1:19" x14ac:dyDescent="0.25">
      <c r="B99" s="70"/>
      <c r="C99" s="66" t="s">
        <v>7868</v>
      </c>
      <c r="D99" s="66"/>
      <c r="E99" s="306">
        <f>VLOOKUP($C99,'COSS Step 1'!$D$149:$U$150,13,FALSE)</f>
        <v>0</v>
      </c>
      <c r="F99" s="75" t="s">
        <v>7008</v>
      </c>
      <c r="G99" s="66" t="str">
        <f>INDEX('Allocator Summary'!$B$8:$B$28,MATCH($F99,'Allocator Summary'!$A$8:$A$28))</f>
        <v>Storage</v>
      </c>
      <c r="H99" s="76">
        <f>INDEX('Allocator Summary'!C$8:C$28,MATCH($F99,'Allocator Summary'!$A$8:$A$28))*$E99</f>
        <v>0</v>
      </c>
      <c r="I99" s="76">
        <f>INDEX('Allocator Summary'!D$8:D$28,MATCH($F99,'Allocator Summary'!$A$8:$A$28))*$E99</f>
        <v>0</v>
      </c>
      <c r="J99" s="76">
        <f>INDEX('Allocator Summary'!E$8:E$28,MATCH($F99,'Allocator Summary'!$A$8:$A$28))*$E99</f>
        <v>0</v>
      </c>
      <c r="K99" s="76">
        <f>INDEX('Allocator Summary'!F$8:F$28,MATCH($F99,'Allocator Summary'!$A$8:$A$28))*$E99</f>
        <v>0</v>
      </c>
      <c r="L99" s="76">
        <f>INDEX('Allocator Summary'!G$8:G$28,MATCH($F99,'Allocator Summary'!$A$8:$A$28))*$E99</f>
        <v>0</v>
      </c>
      <c r="M99" s="76">
        <f>INDEX('Allocator Summary'!H$8:H$28,MATCH($F99,'Allocator Summary'!$A$8:$A$28))*$E99</f>
        <v>0</v>
      </c>
      <c r="N99" s="76">
        <f>INDEX('Allocator Summary'!I$8:I$28,MATCH($F99,'Allocator Summary'!$A$8:$A$28))*$E99</f>
        <v>0</v>
      </c>
      <c r="O99" s="76">
        <f>INDEX('Allocator Summary'!J$8:J$26,MATCH($F99,'Allocator Summary'!$A$8:$A$28))*$E99</f>
        <v>0</v>
      </c>
      <c r="P99" s="76">
        <f>INDEX('Allocator Summary'!K$8:K$26,MATCH($F99,'Allocator Summary'!$A$8:$A$28))*$E99</f>
        <v>0</v>
      </c>
      <c r="Q99" s="76">
        <f>INDEX('Allocator Summary'!L$8:L$28,MATCH($F99,'Allocator Summary'!$A$8:$A$28))*$E99</f>
        <v>0</v>
      </c>
      <c r="R99" s="76">
        <f t="shared" ref="R99" si="35">SUM(H99:Q99)</f>
        <v>0</v>
      </c>
      <c r="S99" s="76">
        <f>R99-E99</f>
        <v>0</v>
      </c>
    </row>
    <row r="100" spans="1:19" x14ac:dyDescent="0.25">
      <c r="B100" s="70"/>
      <c r="E100" s="187">
        <f>SUM(E98:E99)</f>
        <v>0</v>
      </c>
      <c r="H100" s="3">
        <f>SUM(H98:H99)</f>
        <v>0</v>
      </c>
      <c r="I100" s="3">
        <f t="shared" ref="I100:S100" si="36">SUM(I98:I99)</f>
        <v>0</v>
      </c>
      <c r="J100" s="3">
        <f t="shared" si="36"/>
        <v>0</v>
      </c>
      <c r="K100" s="3">
        <f t="shared" si="36"/>
        <v>0</v>
      </c>
      <c r="L100" s="3">
        <f t="shared" si="36"/>
        <v>0</v>
      </c>
      <c r="M100" s="3">
        <f t="shared" si="36"/>
        <v>0</v>
      </c>
      <c r="N100" s="3">
        <f t="shared" si="36"/>
        <v>0</v>
      </c>
      <c r="O100" s="3">
        <f t="shared" si="36"/>
        <v>0</v>
      </c>
      <c r="P100" s="3">
        <f t="shared" si="36"/>
        <v>0</v>
      </c>
      <c r="Q100" s="3">
        <f t="shared" si="36"/>
        <v>0</v>
      </c>
      <c r="R100" s="3">
        <f t="shared" si="36"/>
        <v>0</v>
      </c>
      <c r="S100" s="3">
        <f t="shared" si="36"/>
        <v>0</v>
      </c>
    </row>
    <row r="102" spans="1:19" x14ac:dyDescent="0.25">
      <c r="C102" s="1" t="s">
        <v>7055</v>
      </c>
      <c r="D102" s="1"/>
      <c r="E102" s="307">
        <f>E95+E100</f>
        <v>2532</v>
      </c>
      <c r="H102" s="82">
        <f t="shared" ref="H102:S102" si="37">H95+H100</f>
        <v>0</v>
      </c>
      <c r="I102" s="82">
        <f t="shared" si="37"/>
        <v>0</v>
      </c>
      <c r="J102" s="82">
        <f t="shared" si="37"/>
        <v>0</v>
      </c>
      <c r="K102" s="82">
        <f t="shared" si="37"/>
        <v>0</v>
      </c>
      <c r="L102" s="82">
        <f t="shared" si="37"/>
        <v>0</v>
      </c>
      <c r="M102" s="82">
        <f t="shared" si="37"/>
        <v>2532</v>
      </c>
      <c r="N102" s="82">
        <f t="shared" si="37"/>
        <v>0</v>
      </c>
      <c r="O102" s="82">
        <f t="shared" si="37"/>
        <v>0</v>
      </c>
      <c r="P102" s="82">
        <f t="shared" si="37"/>
        <v>0</v>
      </c>
      <c r="Q102" s="82">
        <f t="shared" si="37"/>
        <v>0</v>
      </c>
      <c r="R102" s="82">
        <f t="shared" si="37"/>
        <v>2532</v>
      </c>
      <c r="S102" s="82">
        <f t="shared" si="37"/>
        <v>0</v>
      </c>
    </row>
    <row r="104" spans="1:19" x14ac:dyDescent="0.25">
      <c r="A104" s="4" t="s">
        <v>7056</v>
      </c>
    </row>
    <row r="105" spans="1:19" x14ac:dyDescent="0.25">
      <c r="B105" t="s">
        <v>6999</v>
      </c>
    </row>
    <row r="106" spans="1:19" x14ac:dyDescent="0.25">
      <c r="B106" s="70"/>
      <c r="C106" t="str">
        <f>'COSS Step 1'!D126</f>
        <v>Salaries and Wages</v>
      </c>
      <c r="E106" s="306">
        <f>VLOOKUP($C106,'COSS Step 1'!$D$122:$U$145,14,FALSE)</f>
        <v>47836.03</v>
      </c>
      <c r="F106" s="36" t="s">
        <v>7007</v>
      </c>
      <c r="G106" t="str">
        <f>INDEX('Allocator Summary'!$B$8:$B$28,MATCH($F106,'Allocator Summary'!$A$8:$A$28))</f>
        <v>Meters</v>
      </c>
      <c r="H106" s="64">
        <f>INDEX('Allocator Summary'!C$8:C$28,MATCH($F106,'Allocator Summary'!$A$8:$A$28))*$E106</f>
        <v>0</v>
      </c>
      <c r="I106" s="64">
        <f>INDEX('Allocator Summary'!D$8:D$28,MATCH($F106,'Allocator Summary'!$A$8:$A$28))*$E106</f>
        <v>0</v>
      </c>
      <c r="J106" s="64">
        <f>INDEX('Allocator Summary'!E$8:E$28,MATCH($F106,'Allocator Summary'!$A$8:$A$28))*$E106</f>
        <v>0</v>
      </c>
      <c r="K106" s="64">
        <f>INDEX('Allocator Summary'!F$8:F$28,MATCH($F106,'Allocator Summary'!$A$8:$A$28))*$E106</f>
        <v>0</v>
      </c>
      <c r="L106" s="64">
        <f>INDEX('Allocator Summary'!G$8:G$28,MATCH($F106,'Allocator Summary'!$A$8:$A$28))*$E106</f>
        <v>0</v>
      </c>
      <c r="M106" s="64">
        <f>INDEX('Allocator Summary'!H$8:H$28,MATCH($F106,'Allocator Summary'!$A$8:$A$28))*$E106</f>
        <v>0</v>
      </c>
      <c r="N106" s="64">
        <f>INDEX('Allocator Summary'!I$8:I$28,MATCH($F106,'Allocator Summary'!$A$8:$A$28))*$E106</f>
        <v>47836.03</v>
      </c>
      <c r="O106" s="64">
        <f>INDEX('Allocator Summary'!J$8:J$26,MATCH($F106,'Allocator Summary'!$A$8:$A$28))*$E106</f>
        <v>0</v>
      </c>
      <c r="P106" s="64">
        <f>INDEX('Allocator Summary'!K$8:K$26,MATCH($F106,'Allocator Summary'!$A$8:$A$28))*$E106</f>
        <v>0</v>
      </c>
      <c r="Q106" s="64">
        <f>INDEX('Allocator Summary'!L$8:L$28,MATCH($F106,'Allocator Summary'!$A$8:$A$28))*$E106</f>
        <v>0</v>
      </c>
      <c r="R106" s="64">
        <f t="shared" ref="R106" si="38">SUM(H106:Q106)</f>
        <v>47836.03</v>
      </c>
      <c r="S106" s="64">
        <f>R106-E106</f>
        <v>0</v>
      </c>
    </row>
    <row r="107" spans="1:19" x14ac:dyDescent="0.25">
      <c r="B107" s="70"/>
      <c r="C107" s="66" t="str">
        <f>'COSS Step 1'!D134</f>
        <v>Telecommunication expense</v>
      </c>
      <c r="D107" s="81"/>
      <c r="E107" s="306">
        <f>VLOOKUP($C107,'COSS Step 1'!$D$122:$U$145,14,FALSE)</f>
        <v>0</v>
      </c>
      <c r="F107" s="75" t="s">
        <v>7007</v>
      </c>
      <c r="G107" s="66" t="str">
        <f>INDEX('Allocator Summary'!$B$8:$B$28,MATCH($F107,'Allocator Summary'!$A$8:$A$28))</f>
        <v>Meters</v>
      </c>
      <c r="H107" s="76">
        <f>INDEX('Allocator Summary'!C$8:C$28,MATCH($F107,'Allocator Summary'!$A$8:$A$28))*$E107</f>
        <v>0</v>
      </c>
      <c r="I107" s="76">
        <f>INDEX('Allocator Summary'!D$8:D$28,MATCH($F107,'Allocator Summary'!$A$8:$A$28))*$E107</f>
        <v>0</v>
      </c>
      <c r="J107" s="76">
        <f>INDEX('Allocator Summary'!E$8:E$28,MATCH($F107,'Allocator Summary'!$A$8:$A$28))*$E107</f>
        <v>0</v>
      </c>
      <c r="K107" s="76">
        <f>INDEX('Allocator Summary'!F$8:F$28,MATCH($F107,'Allocator Summary'!$A$8:$A$28))*$E107</f>
        <v>0</v>
      </c>
      <c r="L107" s="76">
        <f>INDEX('Allocator Summary'!G$8:G$28,MATCH($F107,'Allocator Summary'!$A$8:$A$28))*$E107</f>
        <v>0</v>
      </c>
      <c r="M107" s="76">
        <f>INDEX('Allocator Summary'!H$8:H$28,MATCH($F107,'Allocator Summary'!$A$8:$A$28))*$E107</f>
        <v>0</v>
      </c>
      <c r="N107" s="76">
        <f>INDEX('Allocator Summary'!I$8:I$28,MATCH($F107,'Allocator Summary'!$A$8:$A$28))*$E107</f>
        <v>0</v>
      </c>
      <c r="O107" s="76">
        <f>INDEX('Allocator Summary'!J$8:J$26,MATCH($F107,'Allocator Summary'!$A$8:$A$28))*$E107</f>
        <v>0</v>
      </c>
      <c r="P107" s="76">
        <f>INDEX('Allocator Summary'!K$8:K$26,MATCH($F107,'Allocator Summary'!$A$8:$A$28))*$E107</f>
        <v>0</v>
      </c>
      <c r="Q107" s="76">
        <f>INDEX('Allocator Summary'!L$8:L$28,MATCH($F107,'Allocator Summary'!$A$8:$A$28))*$E107</f>
        <v>0</v>
      </c>
      <c r="R107" s="76">
        <f t="shared" ref="R107" si="39">SUM(H107:Q107)</f>
        <v>0</v>
      </c>
      <c r="S107" s="76">
        <f>R107-E107</f>
        <v>0</v>
      </c>
    </row>
    <row r="108" spans="1:19" x14ac:dyDescent="0.25">
      <c r="E108" s="187">
        <f>SUM(E106:E107)</f>
        <v>47836.03</v>
      </c>
      <c r="H108" s="3">
        <f t="shared" ref="H108:S108" si="40">SUM(H106:H107)</f>
        <v>0</v>
      </c>
      <c r="I108" s="3">
        <f t="shared" si="40"/>
        <v>0</v>
      </c>
      <c r="J108" s="3">
        <f t="shared" si="40"/>
        <v>0</v>
      </c>
      <c r="K108" s="3">
        <f t="shared" si="40"/>
        <v>0</v>
      </c>
      <c r="L108" s="3">
        <f t="shared" si="40"/>
        <v>0</v>
      </c>
      <c r="M108" s="3">
        <f t="shared" si="40"/>
        <v>0</v>
      </c>
      <c r="N108" s="3">
        <f t="shared" si="40"/>
        <v>47836.03</v>
      </c>
      <c r="O108" s="3">
        <f t="shared" si="40"/>
        <v>0</v>
      </c>
      <c r="P108" s="3">
        <f t="shared" si="40"/>
        <v>0</v>
      </c>
      <c r="Q108" s="3">
        <f t="shared" si="40"/>
        <v>0</v>
      </c>
      <c r="R108" s="3">
        <f t="shared" si="40"/>
        <v>47836.03</v>
      </c>
      <c r="S108" s="3">
        <f t="shared" si="40"/>
        <v>0</v>
      </c>
    </row>
    <row r="110" spans="1:19" x14ac:dyDescent="0.25">
      <c r="B110" t="s">
        <v>8</v>
      </c>
    </row>
    <row r="111" spans="1:19" x14ac:dyDescent="0.25">
      <c r="C111" t="s">
        <v>7619</v>
      </c>
      <c r="E111" s="306">
        <f>VLOOKUP($C111,'COSS Step 1'!$D$149:$U$150,14,FALSE)</f>
        <v>0</v>
      </c>
      <c r="F111" s="36" t="s">
        <v>7007</v>
      </c>
      <c r="G111" t="str">
        <f>INDEX('Allocator Summary'!$B$8:$B$28,MATCH($F111,'Allocator Summary'!$A$8:$A$28))</f>
        <v>Meters</v>
      </c>
      <c r="H111" s="64">
        <f>INDEX('Allocator Summary'!C$8:C$28,MATCH($F111,'Allocator Summary'!$A$8:$A$28))*$E111</f>
        <v>0</v>
      </c>
      <c r="I111" s="64">
        <f>INDEX('Allocator Summary'!D$8:D$28,MATCH($F111,'Allocator Summary'!$A$8:$A$28))*$E111</f>
        <v>0</v>
      </c>
      <c r="J111" s="64">
        <f>INDEX('Allocator Summary'!E$8:E$28,MATCH($F111,'Allocator Summary'!$A$8:$A$28))*$E111</f>
        <v>0</v>
      </c>
      <c r="K111" s="64">
        <f>INDEX('Allocator Summary'!F$8:F$28,MATCH($F111,'Allocator Summary'!$A$8:$A$28))*$E111</f>
        <v>0</v>
      </c>
      <c r="L111" s="64">
        <f>INDEX('Allocator Summary'!G$8:G$28,MATCH($F111,'Allocator Summary'!$A$8:$A$28))*$E111</f>
        <v>0</v>
      </c>
      <c r="M111" s="64">
        <f>INDEX('Allocator Summary'!H$8:H$28,MATCH($F111,'Allocator Summary'!$A$8:$A$28))*$E111</f>
        <v>0</v>
      </c>
      <c r="N111" s="64">
        <f>INDEX('Allocator Summary'!I$8:I$28,MATCH($F111,'Allocator Summary'!$A$8:$A$28))*$E111</f>
        <v>0</v>
      </c>
      <c r="O111" s="64">
        <f>INDEX('Allocator Summary'!J$8:J$26,MATCH($F111,'Allocator Summary'!$A$8:$A$28))*$E111</f>
        <v>0</v>
      </c>
      <c r="P111" s="64">
        <f>INDEX('Allocator Summary'!K$8:K$26,MATCH($F111,'Allocator Summary'!$A$8:$A$28))*$E111</f>
        <v>0</v>
      </c>
      <c r="Q111" s="64">
        <f>INDEX('Allocator Summary'!L$8:L$28,MATCH($F111,'Allocator Summary'!$A$8:$A$28))*$E111</f>
        <v>0</v>
      </c>
      <c r="R111" s="64">
        <f t="shared" ref="R111" si="41">SUM(H111:Q111)</f>
        <v>0</v>
      </c>
      <c r="S111" s="64">
        <f>R111-E111</f>
        <v>0</v>
      </c>
    </row>
    <row r="112" spans="1:19" x14ac:dyDescent="0.25">
      <c r="B112" s="70"/>
      <c r="C112" s="66" t="s">
        <v>7868</v>
      </c>
      <c r="D112" s="117"/>
      <c r="E112" s="306">
        <f>VLOOKUP($C112,'COSS Step 1'!$D$149:$U$150,14,FALSE)</f>
        <v>0</v>
      </c>
      <c r="F112" s="75" t="s">
        <v>7007</v>
      </c>
      <c r="G112" s="66" t="str">
        <f>INDEX('Allocator Summary'!$B$8:$B$28,MATCH($F112,'Allocator Summary'!$A$8:$A$28))</f>
        <v>Meters</v>
      </c>
      <c r="H112" s="76">
        <f>INDEX('Allocator Summary'!C$8:C$28,MATCH($F112,'Allocator Summary'!$A$8:$A$28))*$E112</f>
        <v>0</v>
      </c>
      <c r="I112" s="76">
        <f>INDEX('Allocator Summary'!D$8:D$28,MATCH($F112,'Allocator Summary'!$A$8:$A$28))*$E112</f>
        <v>0</v>
      </c>
      <c r="J112" s="76">
        <f>INDEX('Allocator Summary'!E$8:E$28,MATCH($F112,'Allocator Summary'!$A$8:$A$28))*$E112</f>
        <v>0</v>
      </c>
      <c r="K112" s="76">
        <f>INDEX('Allocator Summary'!F$8:F$28,MATCH($F112,'Allocator Summary'!$A$8:$A$28))*$E112</f>
        <v>0</v>
      </c>
      <c r="L112" s="76">
        <f>INDEX('Allocator Summary'!G$8:G$28,MATCH($F112,'Allocator Summary'!$A$8:$A$28))*$E112</f>
        <v>0</v>
      </c>
      <c r="M112" s="76">
        <f>INDEX('Allocator Summary'!H$8:H$28,MATCH($F112,'Allocator Summary'!$A$8:$A$28))*$E112</f>
        <v>0</v>
      </c>
      <c r="N112" s="76">
        <f>INDEX('Allocator Summary'!I$8:I$28,MATCH($F112,'Allocator Summary'!$A$8:$A$28))*$E112</f>
        <v>0</v>
      </c>
      <c r="O112" s="76">
        <f>INDEX('Allocator Summary'!J$8:J$26,MATCH($F112,'Allocator Summary'!$A$8:$A$28))*$E112</f>
        <v>0</v>
      </c>
      <c r="P112" s="76">
        <f>INDEX('Allocator Summary'!K$8:K$26,MATCH($F112,'Allocator Summary'!$A$8:$A$28))*$E112</f>
        <v>0</v>
      </c>
      <c r="Q112" s="76">
        <f>INDEX('Allocator Summary'!L$8:L$28,MATCH($F112,'Allocator Summary'!$A$8:$A$28))*$E112</f>
        <v>0</v>
      </c>
      <c r="R112" s="76">
        <f t="shared" ref="R112" si="42">SUM(H112:Q112)</f>
        <v>0</v>
      </c>
      <c r="S112" s="76">
        <f>R112-E112</f>
        <v>0</v>
      </c>
    </row>
    <row r="113" spans="1:19" x14ac:dyDescent="0.25">
      <c r="B113" s="70"/>
      <c r="E113" s="187">
        <f>SUM(E111:E112)</f>
        <v>0</v>
      </c>
      <c r="H113" s="3">
        <f t="shared" ref="H113:R113" si="43">SUM(H111:H112)</f>
        <v>0</v>
      </c>
      <c r="I113" s="3">
        <f t="shared" si="43"/>
        <v>0</v>
      </c>
      <c r="J113" s="3">
        <f t="shared" si="43"/>
        <v>0</v>
      </c>
      <c r="K113" s="3">
        <f t="shared" si="43"/>
        <v>0</v>
      </c>
      <c r="L113" s="3">
        <f t="shared" si="43"/>
        <v>0</v>
      </c>
      <c r="M113" s="3">
        <f t="shared" si="43"/>
        <v>0</v>
      </c>
      <c r="N113" s="3">
        <f t="shared" si="43"/>
        <v>0</v>
      </c>
      <c r="O113" s="3">
        <f t="shared" si="43"/>
        <v>0</v>
      </c>
      <c r="P113" s="3">
        <f t="shared" si="43"/>
        <v>0</v>
      </c>
      <c r="Q113" s="3">
        <f t="shared" si="43"/>
        <v>0</v>
      </c>
      <c r="R113" s="3">
        <f t="shared" si="43"/>
        <v>0</v>
      </c>
      <c r="S113" s="3">
        <f>SUM(S112:S112)</f>
        <v>0</v>
      </c>
    </row>
    <row r="115" spans="1:19" x14ac:dyDescent="0.25">
      <c r="C115" s="1" t="s">
        <v>7057</v>
      </c>
      <c r="D115" s="1"/>
      <c r="E115" s="307">
        <f>E108+E113</f>
        <v>47836.03</v>
      </c>
      <c r="H115" s="82">
        <f t="shared" ref="H115:S115" si="44">H108+H113</f>
        <v>0</v>
      </c>
      <c r="I115" s="82">
        <f t="shared" si="44"/>
        <v>0</v>
      </c>
      <c r="J115" s="82">
        <f t="shared" si="44"/>
        <v>0</v>
      </c>
      <c r="K115" s="82">
        <f t="shared" si="44"/>
        <v>0</v>
      </c>
      <c r="L115" s="82">
        <f t="shared" si="44"/>
        <v>0</v>
      </c>
      <c r="M115" s="82">
        <f t="shared" si="44"/>
        <v>0</v>
      </c>
      <c r="N115" s="82">
        <f t="shared" si="44"/>
        <v>47836.03</v>
      </c>
      <c r="O115" s="82">
        <f t="shared" si="44"/>
        <v>0</v>
      </c>
      <c r="P115" s="82">
        <f t="shared" si="44"/>
        <v>0</v>
      </c>
      <c r="Q115" s="82">
        <f t="shared" si="44"/>
        <v>0</v>
      </c>
      <c r="R115" s="82">
        <f t="shared" si="44"/>
        <v>47836.03</v>
      </c>
      <c r="S115" s="82">
        <f t="shared" si="44"/>
        <v>0</v>
      </c>
    </row>
    <row r="117" spans="1:19" x14ac:dyDescent="0.25">
      <c r="A117" s="4" t="s">
        <v>7058</v>
      </c>
    </row>
    <row r="118" spans="1:19" x14ac:dyDescent="0.25">
      <c r="B118" t="s">
        <v>6999</v>
      </c>
    </row>
    <row r="119" spans="1:19" x14ac:dyDescent="0.25">
      <c r="B119" s="70"/>
      <c r="C119" s="66" t="str">
        <f>'COSS Step 1'!D126</f>
        <v>Salaries and Wages</v>
      </c>
      <c r="D119" s="66"/>
      <c r="E119" s="306">
        <f>VLOOKUP($C119,'COSS Step 1'!$D$122:$U$145,15,FALSE)</f>
        <v>0</v>
      </c>
      <c r="F119" s="75" t="s">
        <v>7010</v>
      </c>
      <c r="G119" s="66" t="str">
        <f>INDEX('Allocator Summary'!$B$8:$B$28,MATCH($F119,'Allocator Summary'!$A$8:$A$28))</f>
        <v>Services</v>
      </c>
      <c r="H119" s="76">
        <f>INDEX('Allocator Summary'!C$8:C$28,MATCH($F119,'Allocator Summary'!$A$8:$A$28))*$E119</f>
        <v>0</v>
      </c>
      <c r="I119" s="76">
        <f>INDEX('Allocator Summary'!D$8:D$28,MATCH($F119,'Allocator Summary'!$A$8:$A$28))*$E119</f>
        <v>0</v>
      </c>
      <c r="J119" s="76">
        <f>INDEX('Allocator Summary'!E$8:E$28,MATCH($F119,'Allocator Summary'!$A$8:$A$28))*$E119</f>
        <v>0</v>
      </c>
      <c r="K119" s="76">
        <f>INDEX('Allocator Summary'!F$8:F$28,MATCH($F119,'Allocator Summary'!$A$8:$A$28))*$E119</f>
        <v>0</v>
      </c>
      <c r="L119" s="76">
        <f>INDEX('Allocator Summary'!G$8:G$28,MATCH($F119,'Allocator Summary'!$A$8:$A$28))*$E119</f>
        <v>0</v>
      </c>
      <c r="M119" s="76">
        <f>INDEX('Allocator Summary'!H$8:H$28,MATCH($F119,'Allocator Summary'!$A$8:$A$28))*$E119</f>
        <v>0</v>
      </c>
      <c r="N119" s="76">
        <f>INDEX('Allocator Summary'!I$8:I$28,MATCH($F119,'Allocator Summary'!$A$8:$A$28))*$E119</f>
        <v>0</v>
      </c>
      <c r="O119" s="76">
        <f>INDEX('Allocator Summary'!J$8:J$26,MATCH($F119,'Allocator Summary'!$A$8:$A$28))*$E119</f>
        <v>0</v>
      </c>
      <c r="P119" s="76">
        <f>INDEX('Allocator Summary'!K$8:K$26,MATCH($F119,'Allocator Summary'!$A$8:$A$28))*$E119</f>
        <v>0</v>
      </c>
      <c r="Q119" s="76">
        <f>INDEX('Allocator Summary'!L$8:L$28,MATCH($F119,'Allocator Summary'!$A$8:$A$28))*$E119</f>
        <v>0</v>
      </c>
      <c r="R119" s="76">
        <f t="shared" ref="R119" si="45">SUM(H119:Q119)</f>
        <v>0</v>
      </c>
      <c r="S119" s="76">
        <f>R119-E119</f>
        <v>0</v>
      </c>
    </row>
    <row r="120" spans="1:19" x14ac:dyDescent="0.25">
      <c r="E120" s="187">
        <f>SUM(E119:E119)</f>
        <v>0</v>
      </c>
      <c r="H120" s="3">
        <f t="shared" ref="H120:S120" si="46">SUM(H119:H119)</f>
        <v>0</v>
      </c>
      <c r="I120" s="3">
        <f t="shared" si="46"/>
        <v>0</v>
      </c>
      <c r="J120" s="3">
        <f t="shared" si="46"/>
        <v>0</v>
      </c>
      <c r="K120" s="3">
        <f t="shared" si="46"/>
        <v>0</v>
      </c>
      <c r="L120" s="3">
        <f t="shared" si="46"/>
        <v>0</v>
      </c>
      <c r="M120" s="3">
        <f t="shared" si="46"/>
        <v>0</v>
      </c>
      <c r="N120" s="3">
        <f t="shared" si="46"/>
        <v>0</v>
      </c>
      <c r="O120" s="3">
        <f t="shared" si="46"/>
        <v>0</v>
      </c>
      <c r="P120" s="3">
        <f t="shared" si="46"/>
        <v>0</v>
      </c>
      <c r="Q120" s="3">
        <f t="shared" si="46"/>
        <v>0</v>
      </c>
      <c r="R120" s="3">
        <f t="shared" si="46"/>
        <v>0</v>
      </c>
      <c r="S120" s="3">
        <f t="shared" si="46"/>
        <v>0</v>
      </c>
    </row>
    <row r="122" spans="1:19" x14ac:dyDescent="0.25">
      <c r="B122" t="s">
        <v>8</v>
      </c>
    </row>
    <row r="123" spans="1:19" x14ac:dyDescent="0.25">
      <c r="C123" t="s">
        <v>7619</v>
      </c>
      <c r="E123" s="306">
        <f>VLOOKUP($C123,'COSS Step 1'!$D$149:$U$150,15,FALSE)</f>
        <v>8296.4500000000007</v>
      </c>
      <c r="F123" s="36" t="s">
        <v>7010</v>
      </c>
      <c r="G123" t="str">
        <f>INDEX('Allocator Summary'!$B$8:$B$28,MATCH($F123,'Allocator Summary'!$A$8:$A$28))</f>
        <v>Services</v>
      </c>
      <c r="H123" s="64">
        <f>INDEX('Allocator Summary'!C$8:C$28,MATCH($F123,'Allocator Summary'!$A$8:$A$28))*$E123</f>
        <v>0</v>
      </c>
      <c r="I123" s="64">
        <f>INDEX('Allocator Summary'!D$8:D$28,MATCH($F123,'Allocator Summary'!$A$8:$A$28))*$E123</f>
        <v>0</v>
      </c>
      <c r="J123" s="64">
        <f>INDEX('Allocator Summary'!E$8:E$28,MATCH($F123,'Allocator Summary'!$A$8:$A$28))*$E123</f>
        <v>0</v>
      </c>
      <c r="K123" s="64">
        <f>INDEX('Allocator Summary'!F$8:F$28,MATCH($F123,'Allocator Summary'!$A$8:$A$28))*$E123</f>
        <v>0</v>
      </c>
      <c r="L123" s="64">
        <f>INDEX('Allocator Summary'!G$8:G$28,MATCH($F123,'Allocator Summary'!$A$8:$A$28))*$E123</f>
        <v>0</v>
      </c>
      <c r="M123" s="64">
        <f>INDEX('Allocator Summary'!H$8:H$28,MATCH($F123,'Allocator Summary'!$A$8:$A$28))*$E123</f>
        <v>0</v>
      </c>
      <c r="N123" s="64">
        <f>INDEX('Allocator Summary'!I$8:I$28,MATCH($F123,'Allocator Summary'!$A$8:$A$28))*$E123</f>
        <v>0</v>
      </c>
      <c r="O123" s="64">
        <f>INDEX('Allocator Summary'!J$8:J$26,MATCH($F123,'Allocator Summary'!$A$8:$A$28))*$E123</f>
        <v>8296.4500000000007</v>
      </c>
      <c r="P123" s="64">
        <f>INDEX('Allocator Summary'!K$8:K$26,MATCH($F123,'Allocator Summary'!$A$8:$A$28))*$E123</f>
        <v>0</v>
      </c>
      <c r="Q123" s="64">
        <f>INDEX('Allocator Summary'!L$8:L$28,MATCH($F123,'Allocator Summary'!$A$8:$A$28))*$E123</f>
        <v>0</v>
      </c>
      <c r="R123" s="64">
        <f t="shared" ref="R123" si="47">SUM(H123:Q123)</f>
        <v>8296.4500000000007</v>
      </c>
      <c r="S123" s="64">
        <f>R123-E123</f>
        <v>0</v>
      </c>
    </row>
    <row r="124" spans="1:19" x14ac:dyDescent="0.25">
      <c r="B124" s="70"/>
      <c r="C124" s="66" t="s">
        <v>7868</v>
      </c>
      <c r="D124" s="117"/>
      <c r="E124" s="306">
        <f>VLOOKUP($C124,'COSS Step 1'!$D$149:$U$150,15,FALSE)</f>
        <v>144</v>
      </c>
      <c r="F124" s="75" t="s">
        <v>7010</v>
      </c>
      <c r="G124" s="66" t="str">
        <f>INDEX('Allocator Summary'!$B$8:$B$28,MATCH($F124,'Allocator Summary'!$A$8:$A$28))</f>
        <v>Services</v>
      </c>
      <c r="H124" s="76">
        <f>INDEX('Allocator Summary'!C$8:C$28,MATCH($F124,'Allocator Summary'!$A$8:$A$28))*$E124</f>
        <v>0</v>
      </c>
      <c r="I124" s="76">
        <f>INDEX('Allocator Summary'!D$8:D$28,MATCH($F124,'Allocator Summary'!$A$8:$A$28))*$E124</f>
        <v>0</v>
      </c>
      <c r="J124" s="76">
        <f>INDEX('Allocator Summary'!E$8:E$28,MATCH($F124,'Allocator Summary'!$A$8:$A$28))*$E124</f>
        <v>0</v>
      </c>
      <c r="K124" s="76">
        <f>INDEX('Allocator Summary'!F$8:F$28,MATCH($F124,'Allocator Summary'!$A$8:$A$28))*$E124</f>
        <v>0</v>
      </c>
      <c r="L124" s="76">
        <f>INDEX('Allocator Summary'!G$8:G$28,MATCH($F124,'Allocator Summary'!$A$8:$A$28))*$E124</f>
        <v>0</v>
      </c>
      <c r="M124" s="76">
        <f>INDEX('Allocator Summary'!H$8:H$28,MATCH($F124,'Allocator Summary'!$A$8:$A$28))*$E124</f>
        <v>0</v>
      </c>
      <c r="N124" s="76">
        <f>INDEX('Allocator Summary'!I$8:I$28,MATCH($F124,'Allocator Summary'!$A$8:$A$28))*$E124</f>
        <v>0</v>
      </c>
      <c r="O124" s="76">
        <f>INDEX('Allocator Summary'!J$8:J$26,MATCH($F124,'Allocator Summary'!$A$8:$A$28))*$E124</f>
        <v>144</v>
      </c>
      <c r="P124" s="76">
        <f>INDEX('Allocator Summary'!K$8:K$26,MATCH($F124,'Allocator Summary'!$A$8:$A$28))*$E124</f>
        <v>0</v>
      </c>
      <c r="Q124" s="76">
        <f>INDEX('Allocator Summary'!L$8:L$28,MATCH($F124,'Allocator Summary'!$A$8:$A$28))*$E124</f>
        <v>0</v>
      </c>
      <c r="R124" s="76">
        <f t="shared" ref="R124" si="48">SUM(H124:Q124)</f>
        <v>144</v>
      </c>
      <c r="S124" s="76">
        <f>R124-E124</f>
        <v>0</v>
      </c>
    </row>
    <row r="125" spans="1:19" x14ac:dyDescent="0.25">
      <c r="B125" s="70"/>
      <c r="E125" s="187">
        <f>SUM(E123:E124)</f>
        <v>8440.4500000000007</v>
      </c>
      <c r="H125" s="3">
        <f t="shared" ref="H125" si="49">SUM(H123:H124)</f>
        <v>0</v>
      </c>
      <c r="I125" s="3">
        <f t="shared" ref="I125" si="50">SUM(I123:I124)</f>
        <v>0</v>
      </c>
      <c r="J125" s="3">
        <f t="shared" ref="J125" si="51">SUM(J123:J124)</f>
        <v>0</v>
      </c>
      <c r="K125" s="3">
        <f t="shared" ref="K125" si="52">SUM(K123:K124)</f>
        <v>0</v>
      </c>
      <c r="L125" s="3">
        <f t="shared" ref="L125" si="53">SUM(L123:L124)</f>
        <v>0</v>
      </c>
      <c r="M125" s="3">
        <f t="shared" ref="M125" si="54">SUM(M123:M124)</f>
        <v>0</v>
      </c>
      <c r="N125" s="3">
        <f t="shared" ref="N125" si="55">SUM(N123:N124)</f>
        <v>0</v>
      </c>
      <c r="O125" s="3">
        <f t="shared" ref="O125" si="56">SUM(O123:O124)</f>
        <v>8440.4500000000007</v>
      </c>
      <c r="P125" s="3">
        <f t="shared" ref="P125" si="57">SUM(P123:P124)</f>
        <v>0</v>
      </c>
      <c r="Q125" s="3">
        <f t="shared" ref="Q125" si="58">SUM(Q123:Q124)</f>
        <v>0</v>
      </c>
      <c r="R125" s="3">
        <f t="shared" ref="R125" si="59">SUM(R123:R124)</f>
        <v>8440.4500000000007</v>
      </c>
      <c r="S125" s="3">
        <f>SUM(S124:S124)</f>
        <v>0</v>
      </c>
    </row>
    <row r="127" spans="1:19" x14ac:dyDescent="0.25">
      <c r="C127" s="1" t="s">
        <v>7059</v>
      </c>
      <c r="D127" s="1"/>
      <c r="E127" s="307">
        <f>E120+E125</f>
        <v>8440.4500000000007</v>
      </c>
      <c r="H127" s="82">
        <f t="shared" ref="H127:S127" si="60">H120+H125</f>
        <v>0</v>
      </c>
      <c r="I127" s="82">
        <f t="shared" si="60"/>
        <v>0</v>
      </c>
      <c r="J127" s="82">
        <f t="shared" si="60"/>
        <v>0</v>
      </c>
      <c r="K127" s="82">
        <f t="shared" si="60"/>
        <v>0</v>
      </c>
      <c r="L127" s="82">
        <f t="shared" si="60"/>
        <v>0</v>
      </c>
      <c r="M127" s="82">
        <f t="shared" si="60"/>
        <v>0</v>
      </c>
      <c r="N127" s="82">
        <f t="shared" si="60"/>
        <v>0</v>
      </c>
      <c r="O127" s="82">
        <f t="shared" si="60"/>
        <v>8440.4500000000007</v>
      </c>
      <c r="P127" s="82">
        <f t="shared" si="60"/>
        <v>0</v>
      </c>
      <c r="Q127" s="82">
        <f t="shared" si="60"/>
        <v>0</v>
      </c>
      <c r="R127" s="82">
        <f t="shared" si="60"/>
        <v>8440.4500000000007</v>
      </c>
      <c r="S127" s="82">
        <f t="shared" si="60"/>
        <v>0</v>
      </c>
    </row>
    <row r="129" spans="1:19" x14ac:dyDescent="0.25">
      <c r="A129" s="4" t="s">
        <v>7060</v>
      </c>
    </row>
    <row r="130" spans="1:19" x14ac:dyDescent="0.25">
      <c r="B130" t="s">
        <v>8</v>
      </c>
    </row>
    <row r="131" spans="1:19" x14ac:dyDescent="0.25">
      <c r="B131" s="70"/>
      <c r="C131" t="s">
        <v>7619</v>
      </c>
      <c r="E131" s="306">
        <f>VLOOKUP($C131,'COSS Step 1'!$D$149:$U$150,17,FALSE)</f>
        <v>313812</v>
      </c>
      <c r="F131" s="36" t="s">
        <v>7009</v>
      </c>
      <c r="G131" t="str">
        <f>INDEX('Allocator Summary'!$B$8:$B$28,MATCH($F131,'Allocator Summary'!$A$8:$A$28))</f>
        <v>Hydrants</v>
      </c>
      <c r="H131" s="64">
        <f>INDEX('Allocator Summary'!C$8:C$28,MATCH($F131,'Allocator Summary'!$A$8:$A$28))*$E131</f>
        <v>0</v>
      </c>
      <c r="I131" s="64">
        <f>INDEX('Allocator Summary'!D$8:D$28,MATCH($F131,'Allocator Summary'!$A$8:$A$28))*$E131</f>
        <v>0</v>
      </c>
      <c r="J131" s="64">
        <f>INDEX('Allocator Summary'!E$8:E$28,MATCH($F131,'Allocator Summary'!$A$8:$A$28))*$E131</f>
        <v>0</v>
      </c>
      <c r="K131" s="64">
        <f>INDEX('Allocator Summary'!F$8:F$28,MATCH($F131,'Allocator Summary'!$A$8:$A$28))*$E131</f>
        <v>0</v>
      </c>
      <c r="L131" s="64">
        <f>INDEX('Allocator Summary'!G$8:G$28,MATCH($F131,'Allocator Summary'!$A$8:$A$28))*$E131</f>
        <v>0</v>
      </c>
      <c r="M131" s="64">
        <f>INDEX('Allocator Summary'!H$8:H$28,MATCH($F131,'Allocator Summary'!$A$8:$A$28))*$E131</f>
        <v>0</v>
      </c>
      <c r="N131" s="64">
        <f>INDEX('Allocator Summary'!I$8:I$28,MATCH($F131,'Allocator Summary'!$A$8:$A$28))*$E131</f>
        <v>0</v>
      </c>
      <c r="O131" s="64">
        <f>INDEX('Allocator Summary'!J$8:J$26,MATCH($F131,'Allocator Summary'!$A$8:$A$28))*$E131</f>
        <v>0</v>
      </c>
      <c r="P131" s="64">
        <f>INDEX('Allocator Summary'!K$8:K$26,MATCH($F131,'Allocator Summary'!$A$8:$A$28))*$E131</f>
        <v>0</v>
      </c>
      <c r="Q131" s="64">
        <f>INDEX('Allocator Summary'!L$8:L$28,MATCH($F131,'Allocator Summary'!$A$8:$A$28))*$E131</f>
        <v>313812</v>
      </c>
      <c r="R131" s="64">
        <f t="shared" ref="R131" si="61">SUM(H131:Q131)</f>
        <v>313812</v>
      </c>
      <c r="S131" s="64">
        <f>R131-E131</f>
        <v>0</v>
      </c>
    </row>
    <row r="132" spans="1:19" x14ac:dyDescent="0.25">
      <c r="B132" s="70"/>
      <c r="C132" s="66" t="s">
        <v>7868</v>
      </c>
      <c r="D132" s="66"/>
      <c r="E132" s="306">
        <f>VLOOKUP($C132,'COSS Step 1'!$D$149:$U$150,17,FALSE)</f>
        <v>6108</v>
      </c>
      <c r="F132" s="75" t="s">
        <v>7009</v>
      </c>
      <c r="G132" s="66" t="str">
        <f>INDEX('Allocator Summary'!$B$8:$B$28,MATCH($F132,'Allocator Summary'!$A$8:$A$28))</f>
        <v>Hydrants</v>
      </c>
      <c r="H132" s="76">
        <f>INDEX('Allocator Summary'!C$8:C$28,MATCH($F132,'Allocator Summary'!$A$8:$A$28))*$E132</f>
        <v>0</v>
      </c>
      <c r="I132" s="76">
        <f>INDEX('Allocator Summary'!D$8:D$28,MATCH($F132,'Allocator Summary'!$A$8:$A$28))*$E132</f>
        <v>0</v>
      </c>
      <c r="J132" s="76">
        <f>INDEX('Allocator Summary'!E$8:E$28,MATCH($F132,'Allocator Summary'!$A$8:$A$28))*$E132</f>
        <v>0</v>
      </c>
      <c r="K132" s="76">
        <f>INDEX('Allocator Summary'!F$8:F$28,MATCH($F132,'Allocator Summary'!$A$8:$A$28))*$E132</f>
        <v>0</v>
      </c>
      <c r="L132" s="76">
        <f>INDEX('Allocator Summary'!G$8:G$28,MATCH($F132,'Allocator Summary'!$A$8:$A$28))*$E132</f>
        <v>0</v>
      </c>
      <c r="M132" s="76">
        <f>INDEX('Allocator Summary'!H$8:H$28,MATCH($F132,'Allocator Summary'!$A$8:$A$28))*$E132</f>
        <v>0</v>
      </c>
      <c r="N132" s="76">
        <f>INDEX('Allocator Summary'!I$8:I$28,MATCH($F132,'Allocator Summary'!$A$8:$A$28))*$E132</f>
        <v>0</v>
      </c>
      <c r="O132" s="76">
        <f>INDEX('Allocator Summary'!J$8:J$26,MATCH($F132,'Allocator Summary'!$A$8:$A$28))*$E132</f>
        <v>0</v>
      </c>
      <c r="P132" s="76">
        <f>INDEX('Allocator Summary'!K$8:K$26,MATCH($F132,'Allocator Summary'!$A$8:$A$28))*$E132</f>
        <v>0</v>
      </c>
      <c r="Q132" s="76">
        <f>INDEX('Allocator Summary'!L$8:L$28,MATCH($F132,'Allocator Summary'!$A$8:$A$28))*$E132</f>
        <v>6108</v>
      </c>
      <c r="R132" s="76">
        <f t="shared" ref="R132" si="62">SUM(H132:Q132)</f>
        <v>6108</v>
      </c>
      <c r="S132" s="76">
        <f>R132-E132</f>
        <v>0</v>
      </c>
    </row>
    <row r="133" spans="1:19" x14ac:dyDescent="0.25">
      <c r="B133" s="70"/>
      <c r="E133" s="187">
        <f>SUM(E131:E132)</f>
        <v>319920</v>
      </c>
      <c r="H133" s="3">
        <f t="shared" ref="H133:R133" si="63">SUM(H131:H132)</f>
        <v>0</v>
      </c>
      <c r="I133" s="3">
        <f t="shared" si="63"/>
        <v>0</v>
      </c>
      <c r="J133" s="3">
        <f t="shared" si="63"/>
        <v>0</v>
      </c>
      <c r="K133" s="3">
        <f t="shared" si="63"/>
        <v>0</v>
      </c>
      <c r="L133" s="3">
        <f t="shared" si="63"/>
        <v>0</v>
      </c>
      <c r="M133" s="3">
        <f t="shared" si="63"/>
        <v>0</v>
      </c>
      <c r="N133" s="3">
        <f t="shared" si="63"/>
        <v>0</v>
      </c>
      <c r="O133" s="3">
        <f t="shared" si="63"/>
        <v>0</v>
      </c>
      <c r="P133" s="3">
        <f t="shared" si="63"/>
        <v>0</v>
      </c>
      <c r="Q133" s="3">
        <f t="shared" si="63"/>
        <v>319920</v>
      </c>
      <c r="R133" s="3">
        <f t="shared" si="63"/>
        <v>319920</v>
      </c>
      <c r="S133" s="3">
        <f>SUM(S132:S132)</f>
        <v>0</v>
      </c>
    </row>
    <row r="135" spans="1:19" x14ac:dyDescent="0.25">
      <c r="C135" s="1" t="s">
        <v>7060</v>
      </c>
      <c r="D135" s="1"/>
      <c r="E135" s="307">
        <f>E133</f>
        <v>319920</v>
      </c>
      <c r="H135" s="82">
        <f t="shared" ref="H135:R135" si="64">H133</f>
        <v>0</v>
      </c>
      <c r="I135" s="82">
        <f t="shared" si="64"/>
        <v>0</v>
      </c>
      <c r="J135" s="82">
        <f t="shared" si="64"/>
        <v>0</v>
      </c>
      <c r="K135" s="82">
        <f t="shared" si="64"/>
        <v>0</v>
      </c>
      <c r="L135" s="82">
        <f t="shared" si="64"/>
        <v>0</v>
      </c>
      <c r="M135" s="82">
        <f t="shared" si="64"/>
        <v>0</v>
      </c>
      <c r="N135" s="82">
        <f t="shared" si="64"/>
        <v>0</v>
      </c>
      <c r="O135" s="82">
        <f t="shared" si="64"/>
        <v>0</v>
      </c>
      <c r="P135" s="82">
        <f t="shared" si="64"/>
        <v>0</v>
      </c>
      <c r="Q135" s="82">
        <f t="shared" si="64"/>
        <v>319920</v>
      </c>
      <c r="R135" s="82">
        <f t="shared" si="64"/>
        <v>319920</v>
      </c>
      <c r="S135" s="82">
        <f>S133</f>
        <v>0</v>
      </c>
    </row>
    <row r="136" spans="1:19" x14ac:dyDescent="0.25">
      <c r="E136" s="312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9" x14ac:dyDescent="0.25">
      <c r="A137" s="4" t="s">
        <v>7012</v>
      </c>
    </row>
    <row r="138" spans="1:19" x14ac:dyDescent="0.25">
      <c r="B138" s="70"/>
      <c r="C138" t="s">
        <v>7143</v>
      </c>
      <c r="E138" s="306">
        <f>VLOOKUP($C138,'COSS Step 1'!$D$122:$U$145,16,FALSE)</f>
        <v>995695.02999999991</v>
      </c>
      <c r="F138" s="36" t="s">
        <v>7013</v>
      </c>
      <c r="G138" t="str">
        <f>INDEX('Allocator Summary'!$B$8:$B$28,MATCH($F138,'Allocator Summary'!$A$8:$A$28))</f>
        <v>Customers</v>
      </c>
      <c r="H138" s="64">
        <f>INDEX('Allocator Summary'!C$8:C$28,MATCH($F138,'Allocator Summary'!$A$8:$A$28))*$E138</f>
        <v>0</v>
      </c>
      <c r="I138" s="64">
        <f>INDEX('Allocator Summary'!D$8:D$28,MATCH($F138,'Allocator Summary'!$A$8:$A$28))*$E138</f>
        <v>0</v>
      </c>
      <c r="J138" s="64">
        <f>INDEX('Allocator Summary'!E$8:E$28,MATCH($F138,'Allocator Summary'!$A$8:$A$28))*$E138</f>
        <v>0</v>
      </c>
      <c r="K138" s="64">
        <f>INDEX('Allocator Summary'!F$8:F$28,MATCH($F138,'Allocator Summary'!$A$8:$A$28))*$E138</f>
        <v>0</v>
      </c>
      <c r="L138" s="64">
        <f>INDEX('Allocator Summary'!G$8:G$28,MATCH($F138,'Allocator Summary'!$A$8:$A$28))*$E138</f>
        <v>0</v>
      </c>
      <c r="M138" s="64">
        <f>INDEX('Allocator Summary'!H$8:H$28,MATCH($F138,'Allocator Summary'!$A$8:$A$28))*$E138</f>
        <v>0</v>
      </c>
      <c r="N138" s="64">
        <f>INDEX('Allocator Summary'!I$8:I$28,MATCH($F138,'Allocator Summary'!$A$8:$A$28))*$E138</f>
        <v>0</v>
      </c>
      <c r="O138" s="64">
        <f>INDEX('Allocator Summary'!J$8:J$26,MATCH($F138,'Allocator Summary'!$A$8:$A$28))*$E138</f>
        <v>0</v>
      </c>
      <c r="P138" s="64">
        <f>INDEX('Allocator Summary'!K$8:K$26,MATCH($F138,'Allocator Summary'!$A$8:$A$28))*$E138</f>
        <v>995695.02999999991</v>
      </c>
      <c r="Q138" s="64">
        <f>INDEX('Allocator Summary'!L$8:L$28,MATCH($F138,'Allocator Summary'!$A$8:$A$28))*$E138</f>
        <v>0</v>
      </c>
      <c r="R138" s="64">
        <f t="shared" ref="R138" si="65">SUM(H138:Q138)</f>
        <v>995695.02999999991</v>
      </c>
      <c r="S138" s="64">
        <f t="shared" ref="S138:S146" si="66">R138-E138</f>
        <v>0</v>
      </c>
    </row>
    <row r="139" spans="1:19" x14ac:dyDescent="0.25">
      <c r="B139" s="70"/>
      <c r="C139" t="s">
        <v>7691</v>
      </c>
      <c r="E139" s="306">
        <f>VLOOKUP($C139,'COSS Step 1'!$D$122:$U$145,16,FALSE)</f>
        <v>146</v>
      </c>
      <c r="F139" s="36" t="s">
        <v>7013</v>
      </c>
      <c r="G139" t="str">
        <f>INDEX('Allocator Summary'!$B$8:$B$28,MATCH($F139,'Allocator Summary'!$A$8:$A$28))</f>
        <v>Customers</v>
      </c>
      <c r="H139" s="64">
        <f>INDEX('Allocator Summary'!C$8:C$28,MATCH($F139,'Allocator Summary'!$A$8:$A$28))*$E139</f>
        <v>0</v>
      </c>
      <c r="I139" s="64">
        <f>INDEX('Allocator Summary'!D$8:D$28,MATCH($F139,'Allocator Summary'!$A$8:$A$28))*$E139</f>
        <v>0</v>
      </c>
      <c r="J139" s="64">
        <f>INDEX('Allocator Summary'!E$8:E$28,MATCH($F139,'Allocator Summary'!$A$8:$A$28))*$E139</f>
        <v>0</v>
      </c>
      <c r="K139" s="64">
        <f>INDEX('Allocator Summary'!F$8:F$28,MATCH($F139,'Allocator Summary'!$A$8:$A$28))*$E139</f>
        <v>0</v>
      </c>
      <c r="L139" s="64">
        <f>INDEX('Allocator Summary'!G$8:G$28,MATCH($F139,'Allocator Summary'!$A$8:$A$28))*$E139</f>
        <v>0</v>
      </c>
      <c r="M139" s="64">
        <f>INDEX('Allocator Summary'!H$8:H$28,MATCH($F139,'Allocator Summary'!$A$8:$A$28))*$E139</f>
        <v>0</v>
      </c>
      <c r="N139" s="64">
        <f>INDEX('Allocator Summary'!I$8:I$28,MATCH($F139,'Allocator Summary'!$A$8:$A$28))*$E139</f>
        <v>0</v>
      </c>
      <c r="O139" s="64">
        <f>INDEX('Allocator Summary'!J$8:J$26,MATCH($F139,'Allocator Summary'!$A$8:$A$28))*$E139</f>
        <v>0</v>
      </c>
      <c r="P139" s="64">
        <f>INDEX('Allocator Summary'!K$8:K$26,MATCH($F139,'Allocator Summary'!$A$8:$A$28))*$E139</f>
        <v>146</v>
      </c>
      <c r="Q139" s="64">
        <f>INDEX('Allocator Summary'!L$8:L$28,MATCH($F139,'Allocator Summary'!$A$8:$A$28))*$E139</f>
        <v>0</v>
      </c>
      <c r="R139" s="64">
        <f t="shared" ref="R139:R146" si="67">SUM(H139:Q139)</f>
        <v>146</v>
      </c>
      <c r="S139" s="64">
        <f t="shared" si="66"/>
        <v>0</v>
      </c>
    </row>
    <row r="140" spans="1:19" x14ac:dyDescent="0.25">
      <c r="B140" s="70"/>
      <c r="C140" t="s">
        <v>7725</v>
      </c>
      <c r="E140" s="306">
        <f>VLOOKUP($C140,'COSS Step 1'!$D$122:$U$145,16,FALSE)</f>
        <v>624</v>
      </c>
      <c r="F140" s="36" t="s">
        <v>7013</v>
      </c>
      <c r="G140" t="str">
        <f>INDEX('Allocator Summary'!$B$8:$B$28,MATCH($F140,'Allocator Summary'!$A$8:$A$28))</f>
        <v>Customers</v>
      </c>
      <c r="H140" s="64">
        <f>INDEX('Allocator Summary'!C$8:C$28,MATCH($F140,'Allocator Summary'!$A$8:$A$28))*$E140</f>
        <v>0</v>
      </c>
      <c r="I140" s="64">
        <f>INDEX('Allocator Summary'!D$8:D$28,MATCH($F140,'Allocator Summary'!$A$8:$A$28))*$E140</f>
        <v>0</v>
      </c>
      <c r="J140" s="64">
        <f>INDEX('Allocator Summary'!E$8:E$28,MATCH($F140,'Allocator Summary'!$A$8:$A$28))*$E140</f>
        <v>0</v>
      </c>
      <c r="K140" s="64">
        <f>INDEX('Allocator Summary'!F$8:F$28,MATCH($F140,'Allocator Summary'!$A$8:$A$28))*$E140</f>
        <v>0</v>
      </c>
      <c r="L140" s="64">
        <f>INDEX('Allocator Summary'!G$8:G$28,MATCH($F140,'Allocator Summary'!$A$8:$A$28))*$E140</f>
        <v>0</v>
      </c>
      <c r="M140" s="64">
        <f>INDEX('Allocator Summary'!H$8:H$28,MATCH($F140,'Allocator Summary'!$A$8:$A$28))*$E140</f>
        <v>0</v>
      </c>
      <c r="N140" s="64">
        <f>INDEX('Allocator Summary'!I$8:I$28,MATCH($F140,'Allocator Summary'!$A$8:$A$28))*$E140</f>
        <v>0</v>
      </c>
      <c r="O140" s="64">
        <f>INDEX('Allocator Summary'!J$8:J$26,MATCH($F140,'Allocator Summary'!$A$8:$A$28))*$E140</f>
        <v>0</v>
      </c>
      <c r="P140" s="64">
        <f>INDEX('Allocator Summary'!K$8:K$26,MATCH($F140,'Allocator Summary'!$A$8:$A$28))*$E140</f>
        <v>624</v>
      </c>
      <c r="Q140" s="64">
        <f>INDEX('Allocator Summary'!L$8:L$28,MATCH($F140,'Allocator Summary'!$A$8:$A$28))*$E140</f>
        <v>0</v>
      </c>
      <c r="R140" s="64">
        <f t="shared" si="67"/>
        <v>624</v>
      </c>
      <c r="S140" s="64">
        <f t="shared" si="66"/>
        <v>0</v>
      </c>
    </row>
    <row r="141" spans="1:19" x14ac:dyDescent="0.25">
      <c r="B141" s="70"/>
      <c r="C141" t="s">
        <v>7737</v>
      </c>
      <c r="E141" s="306">
        <f>VLOOKUP($C141,'COSS Step 1'!$D$122:$U$145,16,FALSE)</f>
        <v>120</v>
      </c>
      <c r="F141" s="36" t="s">
        <v>7013</v>
      </c>
      <c r="G141" t="str">
        <f>INDEX('Allocator Summary'!$B$8:$B$28,MATCH($F141,'Allocator Summary'!$A$8:$A$28))</f>
        <v>Customers</v>
      </c>
      <c r="H141" s="64">
        <f>INDEX('Allocator Summary'!C$8:C$28,MATCH($F141,'Allocator Summary'!$A$8:$A$28))*$E141</f>
        <v>0</v>
      </c>
      <c r="I141" s="64">
        <f>INDEX('Allocator Summary'!D$8:D$28,MATCH($F141,'Allocator Summary'!$A$8:$A$28))*$E141</f>
        <v>0</v>
      </c>
      <c r="J141" s="64">
        <f>INDEX('Allocator Summary'!E$8:E$28,MATCH($F141,'Allocator Summary'!$A$8:$A$28))*$E141</f>
        <v>0</v>
      </c>
      <c r="K141" s="64">
        <f>INDEX('Allocator Summary'!F$8:F$28,MATCH($F141,'Allocator Summary'!$A$8:$A$28))*$E141</f>
        <v>0</v>
      </c>
      <c r="L141" s="64">
        <f>INDEX('Allocator Summary'!G$8:G$28,MATCH($F141,'Allocator Summary'!$A$8:$A$28))*$E141</f>
        <v>0</v>
      </c>
      <c r="M141" s="64">
        <f>INDEX('Allocator Summary'!H$8:H$28,MATCH($F141,'Allocator Summary'!$A$8:$A$28))*$E141</f>
        <v>0</v>
      </c>
      <c r="N141" s="64">
        <f>INDEX('Allocator Summary'!I$8:I$28,MATCH($F141,'Allocator Summary'!$A$8:$A$28))*$E141</f>
        <v>0</v>
      </c>
      <c r="O141" s="64">
        <f>INDEX('Allocator Summary'!J$8:J$26,MATCH($F141,'Allocator Summary'!$A$8:$A$28))*$E141</f>
        <v>0</v>
      </c>
      <c r="P141" s="64">
        <f>INDEX('Allocator Summary'!K$8:K$26,MATCH($F141,'Allocator Summary'!$A$8:$A$28))*$E141</f>
        <v>120</v>
      </c>
      <c r="Q141" s="64">
        <f>INDEX('Allocator Summary'!L$8:L$28,MATCH($F141,'Allocator Summary'!$A$8:$A$28))*$E141</f>
        <v>0</v>
      </c>
      <c r="R141" s="64">
        <f t="shared" ref="R141:R145" si="68">SUM(H141:Q141)</f>
        <v>120</v>
      </c>
      <c r="S141" s="64">
        <f t="shared" si="66"/>
        <v>0</v>
      </c>
    </row>
    <row r="142" spans="1:19" x14ac:dyDescent="0.25">
      <c r="B142" s="70"/>
      <c r="C142" t="s">
        <v>7760</v>
      </c>
      <c r="E142" s="306">
        <f>VLOOKUP($C142,'COSS Step 1'!$D$122:$U$145,16,FALSE)</f>
        <v>1307</v>
      </c>
      <c r="F142" s="36" t="s">
        <v>7013</v>
      </c>
      <c r="G142" t="str">
        <f>INDEX('Allocator Summary'!$B$8:$B$28,MATCH($F142,'Allocator Summary'!$A$8:$A$28))</f>
        <v>Customers</v>
      </c>
      <c r="H142" s="64">
        <f>INDEX('Allocator Summary'!C$8:C$28,MATCH($F142,'Allocator Summary'!$A$8:$A$28))*$E142</f>
        <v>0</v>
      </c>
      <c r="I142" s="64">
        <f>INDEX('Allocator Summary'!D$8:D$28,MATCH($F142,'Allocator Summary'!$A$8:$A$28))*$E142</f>
        <v>0</v>
      </c>
      <c r="J142" s="64">
        <f>INDEX('Allocator Summary'!E$8:E$28,MATCH($F142,'Allocator Summary'!$A$8:$A$28))*$E142</f>
        <v>0</v>
      </c>
      <c r="K142" s="64">
        <f>INDEX('Allocator Summary'!F$8:F$28,MATCH($F142,'Allocator Summary'!$A$8:$A$28))*$E142</f>
        <v>0</v>
      </c>
      <c r="L142" s="64">
        <f>INDEX('Allocator Summary'!G$8:G$28,MATCH($F142,'Allocator Summary'!$A$8:$A$28))*$E142</f>
        <v>0</v>
      </c>
      <c r="M142" s="64">
        <f>INDEX('Allocator Summary'!H$8:H$28,MATCH($F142,'Allocator Summary'!$A$8:$A$28))*$E142</f>
        <v>0</v>
      </c>
      <c r="N142" s="64">
        <f>INDEX('Allocator Summary'!I$8:I$28,MATCH($F142,'Allocator Summary'!$A$8:$A$28))*$E142</f>
        <v>0</v>
      </c>
      <c r="O142" s="64">
        <f>INDEX('Allocator Summary'!J$8:J$26,MATCH($F142,'Allocator Summary'!$A$8:$A$28))*$E142</f>
        <v>0</v>
      </c>
      <c r="P142" s="64">
        <f>INDEX('Allocator Summary'!K$8:K$26,MATCH($F142,'Allocator Summary'!$A$8:$A$28))*$E142</f>
        <v>1307</v>
      </c>
      <c r="Q142" s="64">
        <f>INDEX('Allocator Summary'!L$8:L$28,MATCH($F142,'Allocator Summary'!$A$8:$A$28))*$E142</f>
        <v>0</v>
      </c>
      <c r="R142" s="64">
        <f t="shared" si="68"/>
        <v>1307</v>
      </c>
      <c r="S142" s="64">
        <f t="shared" si="66"/>
        <v>0</v>
      </c>
    </row>
    <row r="143" spans="1:19" x14ac:dyDescent="0.25">
      <c r="B143" s="70"/>
      <c r="C143" t="s">
        <v>7774</v>
      </c>
      <c r="E143" s="306">
        <f>VLOOKUP($C143,'COSS Step 1'!$D$122:$U$145,16,FALSE)</f>
        <v>2829</v>
      </c>
      <c r="F143" s="36" t="s">
        <v>7013</v>
      </c>
      <c r="G143" t="str">
        <f>INDEX('Allocator Summary'!$B$8:$B$28,MATCH($F143,'Allocator Summary'!$A$8:$A$28))</f>
        <v>Customers</v>
      </c>
      <c r="H143" s="64">
        <f>INDEX('Allocator Summary'!C$8:C$28,MATCH($F143,'Allocator Summary'!$A$8:$A$28))*$E143</f>
        <v>0</v>
      </c>
      <c r="I143" s="64">
        <f>INDEX('Allocator Summary'!D$8:D$28,MATCH($F143,'Allocator Summary'!$A$8:$A$28))*$E143</f>
        <v>0</v>
      </c>
      <c r="J143" s="64">
        <f>INDEX('Allocator Summary'!E$8:E$28,MATCH($F143,'Allocator Summary'!$A$8:$A$28))*$E143</f>
        <v>0</v>
      </c>
      <c r="K143" s="64">
        <f>INDEX('Allocator Summary'!F$8:F$28,MATCH($F143,'Allocator Summary'!$A$8:$A$28))*$E143</f>
        <v>0</v>
      </c>
      <c r="L143" s="64">
        <f>INDEX('Allocator Summary'!G$8:G$28,MATCH($F143,'Allocator Summary'!$A$8:$A$28))*$E143</f>
        <v>0</v>
      </c>
      <c r="M143" s="64">
        <f>INDEX('Allocator Summary'!H$8:H$28,MATCH($F143,'Allocator Summary'!$A$8:$A$28))*$E143</f>
        <v>0</v>
      </c>
      <c r="N143" s="64">
        <f>INDEX('Allocator Summary'!I$8:I$28,MATCH($F143,'Allocator Summary'!$A$8:$A$28))*$E143</f>
        <v>0</v>
      </c>
      <c r="O143" s="64">
        <f>INDEX('Allocator Summary'!J$8:J$26,MATCH($F143,'Allocator Summary'!$A$8:$A$28))*$E143</f>
        <v>0</v>
      </c>
      <c r="P143" s="64">
        <f>INDEX('Allocator Summary'!K$8:K$26,MATCH($F143,'Allocator Summary'!$A$8:$A$28))*$E143</f>
        <v>2829</v>
      </c>
      <c r="Q143" s="64">
        <f>INDEX('Allocator Summary'!L$8:L$28,MATCH($F143,'Allocator Summary'!$A$8:$A$28))*$E143</f>
        <v>0</v>
      </c>
      <c r="R143" s="64">
        <f t="shared" si="68"/>
        <v>2829</v>
      </c>
      <c r="S143" s="64">
        <f t="shared" si="66"/>
        <v>0</v>
      </c>
    </row>
    <row r="144" spans="1:19" x14ac:dyDescent="0.25">
      <c r="B144" s="70"/>
      <c r="C144" t="s">
        <v>7799</v>
      </c>
      <c r="E144" s="306">
        <f>VLOOKUP($C144,'COSS Step 1'!$D$122:$U$145,16,FALSE)</f>
        <v>87144</v>
      </c>
      <c r="F144" s="36" t="s">
        <v>7013</v>
      </c>
      <c r="G144" t="str">
        <f>INDEX('Allocator Summary'!$B$8:$B$28,MATCH($F144,'Allocator Summary'!$A$8:$A$28))</f>
        <v>Customers</v>
      </c>
      <c r="H144" s="64">
        <f>INDEX('Allocator Summary'!C$8:C$28,MATCH($F144,'Allocator Summary'!$A$8:$A$28))*$E144</f>
        <v>0</v>
      </c>
      <c r="I144" s="64">
        <f>INDEX('Allocator Summary'!D$8:D$28,MATCH($F144,'Allocator Summary'!$A$8:$A$28))*$E144</f>
        <v>0</v>
      </c>
      <c r="J144" s="64">
        <f>INDEX('Allocator Summary'!E$8:E$28,MATCH($F144,'Allocator Summary'!$A$8:$A$28))*$E144</f>
        <v>0</v>
      </c>
      <c r="K144" s="64">
        <f>INDEX('Allocator Summary'!F$8:F$28,MATCH($F144,'Allocator Summary'!$A$8:$A$28))*$E144</f>
        <v>0</v>
      </c>
      <c r="L144" s="64">
        <f>INDEX('Allocator Summary'!G$8:G$28,MATCH($F144,'Allocator Summary'!$A$8:$A$28))*$E144</f>
        <v>0</v>
      </c>
      <c r="M144" s="64">
        <f>INDEX('Allocator Summary'!H$8:H$28,MATCH($F144,'Allocator Summary'!$A$8:$A$28))*$E144</f>
        <v>0</v>
      </c>
      <c r="N144" s="64">
        <f>INDEX('Allocator Summary'!I$8:I$28,MATCH($F144,'Allocator Summary'!$A$8:$A$28))*$E144</f>
        <v>0</v>
      </c>
      <c r="O144" s="64">
        <f>INDEX('Allocator Summary'!J$8:J$26,MATCH($F144,'Allocator Summary'!$A$8:$A$28))*$E144</f>
        <v>0</v>
      </c>
      <c r="P144" s="64">
        <f>INDEX('Allocator Summary'!K$8:K$26,MATCH($F144,'Allocator Summary'!$A$8:$A$28))*$E144</f>
        <v>87144</v>
      </c>
      <c r="Q144" s="64">
        <f>INDEX('Allocator Summary'!L$8:L$28,MATCH($F144,'Allocator Summary'!$A$8:$A$28))*$E144</f>
        <v>0</v>
      </c>
      <c r="R144" s="64">
        <f t="shared" si="68"/>
        <v>87144</v>
      </c>
      <c r="S144" s="64">
        <f t="shared" si="66"/>
        <v>0</v>
      </c>
    </row>
    <row r="145" spans="1:19" x14ac:dyDescent="0.25">
      <c r="B145" s="70"/>
      <c r="C145" t="s">
        <v>7846</v>
      </c>
      <c r="E145" s="306">
        <f>VLOOKUP($C145,'COSS Step 1'!$D$122:$U$145,16,FALSE)</f>
        <v>444034</v>
      </c>
      <c r="F145" s="36" t="s">
        <v>7013</v>
      </c>
      <c r="G145" t="str">
        <f>INDEX('Allocator Summary'!$B$8:$B$28,MATCH($F145,'Allocator Summary'!$A$8:$A$28))</f>
        <v>Customers</v>
      </c>
      <c r="H145" s="64">
        <f>INDEX('Allocator Summary'!C$8:C$28,MATCH($F145,'Allocator Summary'!$A$8:$A$28))*$E145</f>
        <v>0</v>
      </c>
      <c r="I145" s="64">
        <f>INDEX('Allocator Summary'!D$8:D$28,MATCH($F145,'Allocator Summary'!$A$8:$A$28))*$E145</f>
        <v>0</v>
      </c>
      <c r="J145" s="64">
        <f>INDEX('Allocator Summary'!E$8:E$28,MATCH($F145,'Allocator Summary'!$A$8:$A$28))*$E145</f>
        <v>0</v>
      </c>
      <c r="K145" s="64">
        <f>INDEX('Allocator Summary'!F$8:F$28,MATCH($F145,'Allocator Summary'!$A$8:$A$28))*$E145</f>
        <v>0</v>
      </c>
      <c r="L145" s="64">
        <f>INDEX('Allocator Summary'!G$8:G$28,MATCH($F145,'Allocator Summary'!$A$8:$A$28))*$E145</f>
        <v>0</v>
      </c>
      <c r="M145" s="64">
        <f>INDEX('Allocator Summary'!H$8:H$28,MATCH($F145,'Allocator Summary'!$A$8:$A$28))*$E145</f>
        <v>0</v>
      </c>
      <c r="N145" s="64">
        <f>INDEX('Allocator Summary'!I$8:I$28,MATCH($F145,'Allocator Summary'!$A$8:$A$28))*$E145</f>
        <v>0</v>
      </c>
      <c r="O145" s="64">
        <f>INDEX('Allocator Summary'!J$8:J$26,MATCH($F145,'Allocator Summary'!$A$8:$A$28))*$E145</f>
        <v>0</v>
      </c>
      <c r="P145" s="64">
        <f>INDEX('Allocator Summary'!K$8:K$26,MATCH($F145,'Allocator Summary'!$A$8:$A$28))*$E145</f>
        <v>444034</v>
      </c>
      <c r="Q145" s="64">
        <f>INDEX('Allocator Summary'!L$8:L$28,MATCH($F145,'Allocator Summary'!$A$8:$A$28))*$E145</f>
        <v>0</v>
      </c>
      <c r="R145" s="64">
        <f t="shared" si="68"/>
        <v>444034</v>
      </c>
      <c r="S145" s="64">
        <f t="shared" si="66"/>
        <v>0</v>
      </c>
    </row>
    <row r="146" spans="1:19" x14ac:dyDescent="0.25">
      <c r="B146" s="70"/>
      <c r="C146" s="66" t="s">
        <v>7849</v>
      </c>
      <c r="D146" s="66"/>
      <c r="E146" s="306">
        <f>VLOOKUP($C146,'COSS Step 1'!$D$122:$U$145,16,FALSE)</f>
        <v>80329</v>
      </c>
      <c r="F146" s="75" t="s">
        <v>7013</v>
      </c>
      <c r="G146" s="66" t="str">
        <f>INDEX('Allocator Summary'!$B$8:$B$28,MATCH($F146,'Allocator Summary'!$A$8:$A$28))</f>
        <v>Customers</v>
      </c>
      <c r="H146" s="76">
        <f>INDEX('Allocator Summary'!C$8:C$28,MATCH($F146,'Allocator Summary'!$A$8:$A$28))*$E146</f>
        <v>0</v>
      </c>
      <c r="I146" s="76">
        <f>INDEX('Allocator Summary'!D$8:D$28,MATCH($F146,'Allocator Summary'!$A$8:$A$28))*$E146</f>
        <v>0</v>
      </c>
      <c r="J146" s="76">
        <f>INDEX('Allocator Summary'!E$8:E$28,MATCH($F146,'Allocator Summary'!$A$8:$A$28))*$E146</f>
        <v>0</v>
      </c>
      <c r="K146" s="76">
        <f>INDEX('Allocator Summary'!F$8:F$28,MATCH($F146,'Allocator Summary'!$A$8:$A$28))*$E146</f>
        <v>0</v>
      </c>
      <c r="L146" s="76">
        <f>INDEX('Allocator Summary'!G$8:G$28,MATCH($F146,'Allocator Summary'!$A$8:$A$28))*$E146</f>
        <v>0</v>
      </c>
      <c r="M146" s="76">
        <f>INDEX('Allocator Summary'!H$8:H$28,MATCH($F146,'Allocator Summary'!$A$8:$A$28))*$E146</f>
        <v>0</v>
      </c>
      <c r="N146" s="76">
        <f>INDEX('Allocator Summary'!I$8:I$28,MATCH($F146,'Allocator Summary'!$A$8:$A$28))*$E146</f>
        <v>0</v>
      </c>
      <c r="O146" s="76">
        <f>INDEX('Allocator Summary'!J$8:J$26,MATCH($F146,'Allocator Summary'!$A$8:$A$28))*$E146</f>
        <v>0</v>
      </c>
      <c r="P146" s="76">
        <f>INDEX('Allocator Summary'!K$8:K$26,MATCH($F146,'Allocator Summary'!$A$8:$A$28))*$E146</f>
        <v>80329</v>
      </c>
      <c r="Q146" s="76">
        <f>INDEX('Allocator Summary'!L$8:L$28,MATCH($F146,'Allocator Summary'!$A$8:$A$28))*$E146</f>
        <v>0</v>
      </c>
      <c r="R146" s="76">
        <f t="shared" si="67"/>
        <v>80329</v>
      </c>
      <c r="S146" s="76">
        <f t="shared" si="66"/>
        <v>0</v>
      </c>
    </row>
    <row r="147" spans="1:19" x14ac:dyDescent="0.25">
      <c r="E147" s="201">
        <f>SUM(E138:E146)</f>
        <v>1612228.0299999998</v>
      </c>
      <c r="H147" s="64">
        <f t="shared" ref="H147:S147" si="69">SUM(H138:H146)</f>
        <v>0</v>
      </c>
      <c r="I147" s="64">
        <f t="shared" si="69"/>
        <v>0</v>
      </c>
      <c r="J147" s="64">
        <f t="shared" si="69"/>
        <v>0</v>
      </c>
      <c r="K147" s="64">
        <f t="shared" si="69"/>
        <v>0</v>
      </c>
      <c r="L147" s="64">
        <f t="shared" si="69"/>
        <v>0</v>
      </c>
      <c r="M147" s="64">
        <f t="shared" si="69"/>
        <v>0</v>
      </c>
      <c r="N147" s="64">
        <f t="shared" si="69"/>
        <v>0</v>
      </c>
      <c r="O147" s="64">
        <f t="shared" si="69"/>
        <v>0</v>
      </c>
      <c r="P147" s="64">
        <f t="shared" si="69"/>
        <v>1612228.0299999998</v>
      </c>
      <c r="Q147" s="64">
        <f t="shared" si="69"/>
        <v>0</v>
      </c>
      <c r="R147" s="64">
        <f t="shared" si="69"/>
        <v>1612228.0299999998</v>
      </c>
      <c r="S147" s="64">
        <f t="shared" si="69"/>
        <v>0</v>
      </c>
    </row>
    <row r="148" spans="1:19" x14ac:dyDescent="0.25">
      <c r="E148" s="312"/>
    </row>
    <row r="149" spans="1:19" x14ac:dyDescent="0.25">
      <c r="C149" s="1" t="s">
        <v>7014</v>
      </c>
      <c r="D149" s="1"/>
      <c r="E149" s="307">
        <f>E147</f>
        <v>1612228.0299999998</v>
      </c>
      <c r="H149" s="82">
        <f t="shared" ref="H149:S149" si="70">H147</f>
        <v>0</v>
      </c>
      <c r="I149" s="82">
        <f t="shared" si="70"/>
        <v>0</v>
      </c>
      <c r="J149" s="82">
        <f t="shared" si="70"/>
        <v>0</v>
      </c>
      <c r="K149" s="82">
        <f t="shared" si="70"/>
        <v>0</v>
      </c>
      <c r="L149" s="82">
        <f t="shared" si="70"/>
        <v>0</v>
      </c>
      <c r="M149" s="82">
        <f t="shared" si="70"/>
        <v>0</v>
      </c>
      <c r="N149" s="82">
        <f t="shared" si="70"/>
        <v>0</v>
      </c>
      <c r="O149" s="82">
        <f t="shared" si="70"/>
        <v>0</v>
      </c>
      <c r="P149" s="82">
        <f t="shared" si="70"/>
        <v>1612228.0299999998</v>
      </c>
      <c r="Q149" s="82">
        <f t="shared" si="70"/>
        <v>0</v>
      </c>
      <c r="R149" s="82">
        <f t="shared" si="70"/>
        <v>1612228.0299999998</v>
      </c>
      <c r="S149" s="82">
        <f t="shared" si="70"/>
        <v>0</v>
      </c>
    </row>
    <row r="151" spans="1:19" x14ac:dyDescent="0.25">
      <c r="A151" s="4" t="s">
        <v>7015</v>
      </c>
    </row>
    <row r="152" spans="1:19" x14ac:dyDescent="0.25">
      <c r="B152" t="s">
        <v>6999</v>
      </c>
      <c r="C152" s="73"/>
      <c r="D152" s="73"/>
    </row>
    <row r="153" spans="1:19" x14ac:dyDescent="0.25">
      <c r="B153" s="83"/>
      <c r="C153" s="73" t="s">
        <v>7142</v>
      </c>
      <c r="D153" s="73"/>
      <c r="E153" s="306">
        <f>VLOOKUP($C153,'COSS Step 1'!$D$122:$U$145,18,FALSE)</f>
        <v>2262.0414382702188</v>
      </c>
      <c r="F153" s="36">
        <v>3</v>
      </c>
      <c r="G153" t="str">
        <f>INDEX('Allocator Summary'!$B$8:$B$28,MATCH($F153,'Allocator Summary'!$A$8:$A$28))</f>
        <v>Fixed O&amp;M</v>
      </c>
      <c r="H153" s="64">
        <f>INDEX('Allocator Summary'!C$8:C$28,MATCH($F153,'Allocator Summary'!$A$8:$A$28))*$E153</f>
        <v>48.386803633317605</v>
      </c>
      <c r="I153" s="64">
        <f>INDEX('Allocator Summary'!D$8:D$28,MATCH($F153,'Allocator Summary'!$A$8:$A$28))*$E153</f>
        <v>399.27152379534442</v>
      </c>
      <c r="J153" s="64">
        <f>INDEX('Allocator Summary'!E$8:E$28,MATCH($F153,'Allocator Summary'!$A$8:$A$28))*$E153</f>
        <v>263.32672259821612</v>
      </c>
      <c r="K153" s="64">
        <f>INDEX('Allocator Summary'!F$8:F$28,MATCH($F153,'Allocator Summary'!$A$8:$A$28))*$E153</f>
        <v>135.59067533518487</v>
      </c>
      <c r="L153" s="64">
        <f>INDEX('Allocator Summary'!G$8:G$28,MATCH($F153,'Allocator Summary'!$A$8:$A$28))*$E153</f>
        <v>411.84313103796433</v>
      </c>
      <c r="M153" s="64">
        <f>INDEX('Allocator Summary'!H$8:H$28,MATCH($F153,'Allocator Summary'!$A$8:$A$28))*$E153</f>
        <v>2.4103897166800285</v>
      </c>
      <c r="N153" s="64">
        <f>INDEX('Allocator Summary'!I$8:I$28,MATCH($F153,'Allocator Summary'!$A$8:$A$28))*$E153</f>
        <v>45.538497155923118</v>
      </c>
      <c r="O153" s="64">
        <f>INDEX('Allocator Summary'!J$8:J$26,MATCH($F153,'Allocator Summary'!$A$8:$A$28))*$E153</f>
        <v>9.2021336650108783</v>
      </c>
      <c r="P153" s="64">
        <f>INDEX('Allocator Summary'!K$8:K$26,MATCH($F153,'Allocator Summary'!$A$8:$A$28))*$E153</f>
        <v>597.68131885613525</v>
      </c>
      <c r="Q153" s="64">
        <f>INDEX('Allocator Summary'!L$8:L$28,MATCH($F153,'Allocator Summary'!$A$8:$A$28))*$E153</f>
        <v>348.79024247644139</v>
      </c>
      <c r="R153" s="64">
        <f t="shared" ref="R153:R171" si="71">SUM(H153:Q153)</f>
        <v>2262.0414382702184</v>
      </c>
      <c r="S153" s="64">
        <f t="shared" ref="S153:S171" si="72">R153-E153</f>
        <v>0</v>
      </c>
    </row>
    <row r="154" spans="1:19" x14ac:dyDescent="0.25">
      <c r="B154" s="83"/>
      <c r="C154" s="73" t="s">
        <v>7143</v>
      </c>
      <c r="D154" s="73"/>
      <c r="E154" s="306">
        <f>VLOOKUP($C154,'COSS Step 1'!$D$122:$U$145,18,FALSE)</f>
        <v>804921.80000000028</v>
      </c>
      <c r="F154" s="36">
        <v>4</v>
      </c>
      <c r="G154" t="str">
        <f>INDEX('Allocator Summary'!$B$8:$B$28,MATCH($F154,'Allocator Summary'!$A$8:$A$28))</f>
        <v>Labor</v>
      </c>
      <c r="H154" s="64">
        <f>INDEX('Allocator Summary'!C$8:C$28,MATCH($F154,'Allocator Summary'!$A$8:$A$28))*$E154</f>
        <v>0</v>
      </c>
      <c r="I154" s="64">
        <f>INDEX('Allocator Summary'!D$8:D$28,MATCH($F154,'Allocator Summary'!$A$8:$A$28))*$E154</f>
        <v>219205.37025269953</v>
      </c>
      <c r="J154" s="64">
        <f>INDEX('Allocator Summary'!E$8:E$28,MATCH($F154,'Allocator Summary'!$A$8:$A$28))*$E154</f>
        <v>128767.27311219167</v>
      </c>
      <c r="K154" s="64">
        <f>INDEX('Allocator Summary'!F$8:F$28,MATCH($F154,'Allocator Summary'!$A$8:$A$28))*$E154</f>
        <v>39146.343526738325</v>
      </c>
      <c r="L154" s="64">
        <f>INDEX('Allocator Summary'!G$8:G$28,MATCH($F154,'Allocator Summary'!$A$8:$A$28))*$E154</f>
        <v>118903.10780505471</v>
      </c>
      <c r="M154" s="64">
        <f>INDEX('Allocator Summary'!H$8:H$28,MATCH($F154,'Allocator Summary'!$A$8:$A$28))*$E154</f>
        <v>610.63311677740603</v>
      </c>
      <c r="N154" s="64">
        <f>INDEX('Allocator Summary'!I$8:I$28,MATCH($F154,'Allocator Summary'!$A$8:$A$28))*$E154</f>
        <v>21580.896374715721</v>
      </c>
      <c r="O154" s="64">
        <f>INDEX('Allocator Summary'!J$8:J$26,MATCH($F154,'Allocator Summary'!$A$8:$A$28))*$E154</f>
        <v>1742.0621360128744</v>
      </c>
      <c r="P154" s="64">
        <f>INDEX('Allocator Summary'!K$8:K$26,MATCH($F154,'Allocator Summary'!$A$8:$A$28))*$E154</f>
        <v>209072.86981530685</v>
      </c>
      <c r="Q154" s="64">
        <f>INDEX('Allocator Summary'!L$8:L$28,MATCH($F154,'Allocator Summary'!$A$8:$A$28))*$E154</f>
        <v>65893.243860503237</v>
      </c>
      <c r="R154" s="64">
        <f t="shared" si="71"/>
        <v>804921.80000000016</v>
      </c>
      <c r="S154" s="64">
        <f t="shared" si="72"/>
        <v>0</v>
      </c>
    </row>
    <row r="155" spans="1:19" x14ac:dyDescent="0.25">
      <c r="B155" s="83"/>
      <c r="C155" s="73" t="s">
        <v>7680</v>
      </c>
      <c r="D155" s="73"/>
      <c r="E155" s="306">
        <f>VLOOKUP($C155,'COSS Step 1'!$D$122:$U$145,18,FALSE)</f>
        <v>120539</v>
      </c>
      <c r="F155" s="36">
        <v>4</v>
      </c>
      <c r="G155" t="str">
        <f>INDEX('Allocator Summary'!$B$8:$B$28,MATCH($F155,'Allocator Summary'!$A$8:$A$28))</f>
        <v>Labor</v>
      </c>
      <c r="H155" s="64">
        <f>INDEX('Allocator Summary'!C$8:C$28,MATCH($F155,'Allocator Summary'!$A$8:$A$28))*$E155</f>
        <v>0</v>
      </c>
      <c r="I155" s="64">
        <f>INDEX('Allocator Summary'!D$8:D$28,MATCH($F155,'Allocator Summary'!$A$8:$A$28))*$E155</f>
        <v>32826.538087165907</v>
      </c>
      <c r="J155" s="64">
        <f>INDEX('Allocator Summary'!E$8:E$28,MATCH($F155,'Allocator Summary'!$A$8:$A$28))*$E155</f>
        <v>19283.212771315757</v>
      </c>
      <c r="K155" s="64">
        <f>INDEX('Allocator Summary'!F$8:F$28,MATCH($F155,'Allocator Summary'!$A$8:$A$28))*$E155</f>
        <v>5862.2602871105119</v>
      </c>
      <c r="L155" s="64">
        <f>INDEX('Allocator Summary'!G$8:G$28,MATCH($F155,'Allocator Summary'!$A$8:$A$28))*$E155</f>
        <v>17806.029991625877</v>
      </c>
      <c r="M155" s="64">
        <f>INDEX('Allocator Summary'!H$8:H$28,MATCH($F155,'Allocator Summary'!$A$8:$A$28))*$E155</f>
        <v>91.443796482132441</v>
      </c>
      <c r="N155" s="64">
        <f>INDEX('Allocator Summary'!I$8:I$28,MATCH($F155,'Allocator Summary'!$A$8:$A$28))*$E155</f>
        <v>3231.7917940747257</v>
      </c>
      <c r="O155" s="64">
        <f>INDEX('Allocator Summary'!J$8:J$26,MATCH($F155,'Allocator Summary'!$A$8:$A$28))*$E155</f>
        <v>260.87804779651361</v>
      </c>
      <c r="P155" s="64">
        <f>INDEX('Allocator Summary'!K$8:K$26,MATCH($F155,'Allocator Summary'!$A$8:$A$28))*$E155</f>
        <v>31309.171468169039</v>
      </c>
      <c r="Q155" s="64">
        <f>INDEX('Allocator Summary'!L$8:L$28,MATCH($F155,'Allocator Summary'!$A$8:$A$28))*$E155</f>
        <v>9867.6737562595481</v>
      </c>
      <c r="R155" s="64">
        <f t="shared" si="71"/>
        <v>120539.00000000001</v>
      </c>
      <c r="S155" s="64">
        <f t="shared" si="72"/>
        <v>0</v>
      </c>
    </row>
    <row r="156" spans="1:19" x14ac:dyDescent="0.25">
      <c r="B156" s="83"/>
      <c r="C156" s="73" t="s">
        <v>7684</v>
      </c>
      <c r="D156" s="73"/>
      <c r="E156" s="306">
        <f>VLOOKUP($C156,'COSS Step 1'!$D$122:$U$145,18,FALSE)</f>
        <v>599913</v>
      </c>
      <c r="F156" s="36">
        <v>4</v>
      </c>
      <c r="G156" t="str">
        <f>INDEX('Allocator Summary'!$B$8:$B$28,MATCH($F156,'Allocator Summary'!$A$8:$A$28))</f>
        <v>Labor</v>
      </c>
      <c r="H156" s="64">
        <f>INDEX('Allocator Summary'!C$8:C$28,MATCH($F156,'Allocator Summary'!$A$8:$A$28))*$E156</f>
        <v>0</v>
      </c>
      <c r="I156" s="64">
        <f>INDEX('Allocator Summary'!D$8:D$28,MATCH($F156,'Allocator Summary'!$A$8:$A$28))*$E156</f>
        <v>163375.06486270801</v>
      </c>
      <c r="J156" s="64">
        <f>INDEX('Allocator Summary'!E$8:E$28,MATCH($F156,'Allocator Summary'!$A$8:$A$28))*$E156</f>
        <v>95971.01372400923</v>
      </c>
      <c r="K156" s="64">
        <f>INDEX('Allocator Summary'!F$8:F$28,MATCH($F156,'Allocator Summary'!$A$8:$A$28))*$E156</f>
        <v>29176.002419310997</v>
      </c>
      <c r="L156" s="64">
        <f>INDEX('Allocator Summary'!G$8:G$28,MATCH($F156,'Allocator Summary'!$A$8:$A$28))*$E156</f>
        <v>88619.192712452015</v>
      </c>
      <c r="M156" s="64">
        <f>INDEX('Allocator Summary'!H$8:H$28,MATCH($F156,'Allocator Summary'!$A$8:$A$28))*$E156</f>
        <v>455.1084900238555</v>
      </c>
      <c r="N156" s="64">
        <f>INDEX('Allocator Summary'!I$8:I$28,MATCH($F156,'Allocator Summary'!$A$8:$A$28))*$E156</f>
        <v>16084.370291430581</v>
      </c>
      <c r="O156" s="64">
        <f>INDEX('Allocator Summary'!J$8:J$26,MATCH($F156,'Allocator Summary'!$A$8:$A$28))*$E156</f>
        <v>1298.3692604696396</v>
      </c>
      <c r="P156" s="64">
        <f>INDEX('Allocator Summary'!K$8:K$26,MATCH($F156,'Allocator Summary'!$A$8:$A$28))*$E156</f>
        <v>155823.25208425234</v>
      </c>
      <c r="Q156" s="64">
        <f>INDEX('Allocator Summary'!L$8:L$28,MATCH($F156,'Allocator Summary'!$A$8:$A$28))*$E156</f>
        <v>49110.626155343365</v>
      </c>
      <c r="R156" s="64">
        <f t="shared" si="71"/>
        <v>599913</v>
      </c>
      <c r="S156" s="64">
        <f t="shared" si="72"/>
        <v>0</v>
      </c>
    </row>
    <row r="157" spans="1:19" x14ac:dyDescent="0.25">
      <c r="B157" s="83"/>
      <c r="C157" s="73" t="s">
        <v>7691</v>
      </c>
      <c r="D157" s="73"/>
      <c r="E157" s="306">
        <f>VLOOKUP($C157,'COSS Step 1'!$D$122:$U$145,18,FALSE)</f>
        <v>373097</v>
      </c>
      <c r="F157" s="36">
        <v>4</v>
      </c>
      <c r="G157" t="str">
        <f>INDEX('Allocator Summary'!$B$8:$B$28,MATCH($F157,'Allocator Summary'!$A$8:$A$28))</f>
        <v>Labor</v>
      </c>
      <c r="H157" s="64">
        <f>INDEX('Allocator Summary'!C$8:C$28,MATCH($F157,'Allocator Summary'!$A$8:$A$28))*$E157</f>
        <v>0</v>
      </c>
      <c r="I157" s="64">
        <f>INDEX('Allocator Summary'!D$8:D$28,MATCH($F157,'Allocator Summary'!$A$8:$A$28))*$E157</f>
        <v>101605.97715849093</v>
      </c>
      <c r="J157" s="64">
        <f>INDEX('Allocator Summary'!E$8:E$28,MATCH($F157,'Allocator Summary'!$A$8:$A$28))*$E157</f>
        <v>59686.15000406171</v>
      </c>
      <c r="K157" s="64">
        <f>INDEX('Allocator Summary'!F$8:F$28,MATCH($F157,'Allocator Summary'!$A$8:$A$28))*$E157</f>
        <v>18145.095996648972</v>
      </c>
      <c r="L157" s="64">
        <f>INDEX('Allocator Summary'!G$8:G$28,MATCH($F157,'Allocator Summary'!$A$8:$A$28))*$E157</f>
        <v>55113.916423610943</v>
      </c>
      <c r="M157" s="64">
        <f>INDEX('Allocator Summary'!H$8:H$28,MATCH($F157,'Allocator Summary'!$A$8:$A$28))*$E157</f>
        <v>283.04039469461475</v>
      </c>
      <c r="N157" s="64">
        <f>INDEX('Allocator Summary'!I$8:I$28,MATCH($F157,'Allocator Summary'!$A$8:$A$28))*$E157</f>
        <v>10003.167630342859</v>
      </c>
      <c r="O157" s="64">
        <f>INDEX('Allocator Summary'!J$8:J$26,MATCH($F157,'Allocator Summary'!$A$8:$A$28))*$E157</f>
        <v>807.4798778713598</v>
      </c>
      <c r="P157" s="64">
        <f>INDEX('Allocator Summary'!K$8:K$26,MATCH($F157,'Allocator Summary'!$A$8:$A$28))*$E157</f>
        <v>96909.364996054923</v>
      </c>
      <c r="Q157" s="64">
        <f>INDEX('Allocator Summary'!L$8:L$28,MATCH($F157,'Allocator Summary'!$A$8:$A$28))*$E157</f>
        <v>30542.807518223715</v>
      </c>
      <c r="R157" s="64">
        <f t="shared" ref="R157" si="73">SUM(H157:Q157)</f>
        <v>373097</v>
      </c>
      <c r="S157" s="64">
        <f t="shared" si="72"/>
        <v>0</v>
      </c>
    </row>
    <row r="158" spans="1:19" x14ac:dyDescent="0.25">
      <c r="B158" s="83"/>
      <c r="C158" s="73" t="s">
        <v>8189</v>
      </c>
      <c r="D158" s="73"/>
      <c r="E158" s="306">
        <f>VLOOKUP($C158,'COSS Step 1'!$D$122:$U$145,18,FALSE)</f>
        <v>3039942.1207074495</v>
      </c>
      <c r="F158" s="36">
        <v>4</v>
      </c>
      <c r="G158" t="str">
        <f>INDEX('Allocator Summary'!$B$8:$B$28,MATCH($F158,'Allocator Summary'!$A$8:$A$28))</f>
        <v>Labor</v>
      </c>
      <c r="H158" s="64">
        <f>INDEX('Allocator Summary'!C$8:C$28,MATCH($F158,'Allocator Summary'!$A$8:$A$28))*$E158</f>
        <v>0</v>
      </c>
      <c r="I158" s="64">
        <f>INDEX('Allocator Summary'!D$8:D$28,MATCH($F158,'Allocator Summary'!$A$8:$A$28))*$E158</f>
        <v>827871.27658420091</v>
      </c>
      <c r="J158" s="64">
        <f>INDEX('Allocator Summary'!E$8:E$28,MATCH($F158,'Allocator Summary'!$A$8:$A$28))*$E158</f>
        <v>486314.39389812917</v>
      </c>
      <c r="K158" s="64">
        <f>INDEX('Allocator Summary'!F$8:F$28,MATCH($F158,'Allocator Summary'!$A$8:$A$28))*$E158</f>
        <v>147843.7017839686</v>
      </c>
      <c r="L158" s="64">
        <f>INDEX('Allocator Summary'!G$8:G$28,MATCH($F158,'Allocator Summary'!$A$8:$A$28))*$E158</f>
        <v>449060.47481830459</v>
      </c>
      <c r="M158" s="64">
        <f>INDEX('Allocator Summary'!H$8:H$28,MATCH($F158,'Allocator Summary'!$A$8:$A$28))*$E158</f>
        <v>2306.1735090172815</v>
      </c>
      <c r="N158" s="64">
        <f>INDEX('Allocator Summary'!I$8:I$28,MATCH($F158,'Allocator Summary'!$A$8:$A$28))*$E158</f>
        <v>81504.40936264988</v>
      </c>
      <c r="O158" s="64">
        <f>INDEX('Allocator Summary'!J$8:J$26,MATCH($F158,'Allocator Summary'!$A$8:$A$28))*$E158</f>
        <v>6579.2329940065292</v>
      </c>
      <c r="P158" s="64">
        <f>INDEX('Allocator Summary'!K$8:K$26,MATCH($F158,'Allocator Summary'!$A$8:$A$28))*$E158</f>
        <v>789603.93823193293</v>
      </c>
      <c r="Q158" s="64">
        <f>INDEX('Allocator Summary'!L$8:L$28,MATCH($F158,'Allocator Summary'!$A$8:$A$28))*$E158</f>
        <v>248858.51952523991</v>
      </c>
      <c r="R158" s="64">
        <f t="shared" ref="R158" si="74">SUM(H158:Q158)</f>
        <v>3039942.1207074495</v>
      </c>
      <c r="S158" s="64">
        <f t="shared" ref="S158" si="75">R158-E158</f>
        <v>0</v>
      </c>
    </row>
    <row r="159" spans="1:19" x14ac:dyDescent="0.25">
      <c r="B159" s="83"/>
      <c r="C159" s="73" t="s">
        <v>8188</v>
      </c>
      <c r="D159" s="73"/>
      <c r="E159" s="306">
        <f>VLOOKUP($C159,'COSS Step 1'!$D$122:$U$145,18,FALSE)</f>
        <v>2495558.8792925505</v>
      </c>
      <c r="F159" s="36">
        <v>3</v>
      </c>
      <c r="G159" t="str">
        <f>INDEX('Allocator Summary'!$B$8:$B$28,MATCH($F159,'Allocator Summary'!$A$8:$A$28))</f>
        <v>Fixed O&amp;M</v>
      </c>
      <c r="H159" s="64">
        <f>INDEX('Allocator Summary'!C$8:C$28,MATCH($F159,'Allocator Summary'!$A$8:$A$28))*$E159</f>
        <v>53381.921040336842</v>
      </c>
      <c r="I159" s="64">
        <f>INDEX('Allocator Summary'!D$8:D$28,MATCH($F159,'Allocator Summary'!$A$8:$A$28))*$E159</f>
        <v>440489.54170268832</v>
      </c>
      <c r="J159" s="64">
        <f>INDEX('Allocator Summary'!E$8:E$28,MATCH($F159,'Allocator Summary'!$A$8:$A$28))*$E159</f>
        <v>290510.74379853293</v>
      </c>
      <c r="K159" s="64">
        <f>INDEX('Allocator Summary'!F$8:F$28,MATCH($F159,'Allocator Summary'!$A$8:$A$28))*$E159</f>
        <v>149588.11454875415</v>
      </c>
      <c r="L159" s="64">
        <f>INDEX('Allocator Summary'!G$8:G$28,MATCH($F159,'Allocator Summary'!$A$8:$A$28))*$E159</f>
        <v>454358.95432728186</v>
      </c>
      <c r="M159" s="64">
        <f>INDEX('Allocator Summary'!H$8:H$28,MATCH($F159,'Allocator Summary'!$A$8:$A$28))*$E159</f>
        <v>2659.2216032152669</v>
      </c>
      <c r="N159" s="64">
        <f>INDEX('Allocator Summary'!I$8:I$28,MATCH($F159,'Allocator Summary'!$A$8:$A$28))*$E159</f>
        <v>50239.575192754193</v>
      </c>
      <c r="O159" s="64">
        <f>INDEX('Allocator Summary'!J$8:J$26,MATCH($F159,'Allocator Summary'!$A$8:$A$28))*$E159</f>
        <v>10152.098006531527</v>
      </c>
      <c r="P159" s="64">
        <f>INDEX('Allocator Summary'!K$8:K$26,MATCH($F159,'Allocator Summary'!$A$8:$A$28))*$E159</f>
        <v>659381.7854191463</v>
      </c>
      <c r="Q159" s="64">
        <f>INDEX('Allocator Summary'!L$8:L$28,MATCH($F159,'Allocator Summary'!$A$8:$A$28))*$E159</f>
        <v>384796.9236533083</v>
      </c>
      <c r="R159" s="64">
        <f t="shared" si="71"/>
        <v>2495558.8792925496</v>
      </c>
      <c r="S159" s="64">
        <f t="shared" si="72"/>
        <v>0</v>
      </c>
    </row>
    <row r="160" spans="1:19" x14ac:dyDescent="0.25">
      <c r="B160" s="83"/>
      <c r="C160" s="73" t="s">
        <v>7725</v>
      </c>
      <c r="D160" s="73"/>
      <c r="E160" s="306">
        <f>VLOOKUP($C160,'COSS Step 1'!$D$122:$U$145,18,FALSE)</f>
        <v>314541</v>
      </c>
      <c r="F160" s="36">
        <v>3</v>
      </c>
      <c r="G160" t="str">
        <f>INDEX('Allocator Summary'!$B$8:$B$28,MATCH($F160,'Allocator Summary'!$A$8:$A$28))</f>
        <v>Fixed O&amp;M</v>
      </c>
      <c r="H160" s="64">
        <f>INDEX('Allocator Summary'!C$8:C$28,MATCH($F160,'Allocator Summary'!$A$8:$A$28))*$E160</f>
        <v>6728.2735603932151</v>
      </c>
      <c r="I160" s="64">
        <f>INDEX('Allocator Summary'!D$8:D$28,MATCH($F160,'Allocator Summary'!$A$8:$A$28))*$E160</f>
        <v>55519.435781047367</v>
      </c>
      <c r="J160" s="64">
        <f>INDEX('Allocator Summary'!E$8:E$28,MATCH($F160,'Allocator Summary'!$A$8:$A$28))*$E160</f>
        <v>36616.062487388946</v>
      </c>
      <c r="K160" s="64">
        <f>INDEX('Allocator Summary'!F$8:F$28,MATCH($F160,'Allocator Summary'!$A$8:$A$28))*$E160</f>
        <v>18854.131444743962</v>
      </c>
      <c r="L160" s="64">
        <f>INDEX('Allocator Summary'!G$8:G$28,MATCH($F160,'Allocator Summary'!$A$8:$A$28))*$E160</f>
        <v>57267.540765686703</v>
      </c>
      <c r="M160" s="64">
        <f>INDEX('Allocator Summary'!H$8:H$28,MATCH($F160,'Allocator Summary'!$A$8:$A$28))*$E160</f>
        <v>335.16909949007038</v>
      </c>
      <c r="N160" s="64">
        <f>INDEX('Allocator Summary'!I$8:I$28,MATCH($F160,'Allocator Summary'!$A$8:$A$28))*$E160</f>
        <v>6332.2113342338034</v>
      </c>
      <c r="O160" s="64">
        <f>INDEX('Allocator Summary'!J$8:J$26,MATCH($F160,'Allocator Summary'!$A$8:$A$28))*$E160</f>
        <v>1279.5735198111881</v>
      </c>
      <c r="P160" s="64">
        <f>INDEX('Allocator Summary'!K$8:K$26,MATCH($F160,'Allocator Summary'!$A$8:$A$28))*$E160</f>
        <v>83108.680740211144</v>
      </c>
      <c r="Q160" s="64">
        <f>INDEX('Allocator Summary'!L$8:L$28,MATCH($F160,'Allocator Summary'!$A$8:$A$28))*$E160</f>
        <v>48499.9212669935</v>
      </c>
      <c r="R160" s="64">
        <f t="shared" si="71"/>
        <v>314540.99999999994</v>
      </c>
      <c r="S160" s="64">
        <f t="shared" si="72"/>
        <v>0</v>
      </c>
    </row>
    <row r="161" spans="2:19" x14ac:dyDescent="0.25">
      <c r="B161" s="83"/>
      <c r="C161" s="73" t="s">
        <v>7737</v>
      </c>
      <c r="D161" s="73"/>
      <c r="E161" s="306">
        <f>VLOOKUP($C161,'COSS Step 1'!$D$122:$U$145,18,FALSE)</f>
        <v>88884</v>
      </c>
      <c r="F161" s="36">
        <v>3</v>
      </c>
      <c r="G161" t="str">
        <f>INDEX('Allocator Summary'!$B$8:$B$28,MATCH($F161,'Allocator Summary'!$A$8:$A$28))</f>
        <v>Fixed O&amp;M</v>
      </c>
      <c r="H161" s="64">
        <f>INDEX('Allocator Summary'!C$8:C$28,MATCH($F161,'Allocator Summary'!$A$8:$A$28))*$E161</f>
        <v>1901.2970237329648</v>
      </c>
      <c r="I161" s="64">
        <f>INDEX('Allocator Summary'!D$8:D$28,MATCH($F161,'Allocator Summary'!$A$8:$A$28))*$E161</f>
        <v>15688.859417254393</v>
      </c>
      <c r="J161" s="64">
        <f>INDEX('Allocator Summary'!E$8:E$28,MATCH($F161,'Allocator Summary'!$A$8:$A$28))*$E161</f>
        <v>10347.083840037003</v>
      </c>
      <c r="K161" s="64">
        <f>INDEX('Allocator Summary'!F$8:F$28,MATCH($F161,'Allocator Summary'!$A$8:$A$28))*$E161</f>
        <v>5327.8606583390474</v>
      </c>
      <c r="L161" s="64">
        <f>INDEX('Allocator Summary'!G$8:G$28,MATCH($F161,'Allocator Summary'!$A$8:$A$28))*$E161</f>
        <v>16182.844504904915</v>
      </c>
      <c r="M161" s="64">
        <f>INDEX('Allocator Summary'!H$8:H$28,MATCH($F161,'Allocator Summary'!$A$8:$A$28))*$E161</f>
        <v>94.713154212250274</v>
      </c>
      <c r="N161" s="64">
        <f>INDEX('Allocator Summary'!I$8:I$28,MATCH($F161,'Allocator Summary'!$A$8:$A$28))*$E161</f>
        <v>1789.3764953759205</v>
      </c>
      <c r="O161" s="64">
        <f>INDEX('Allocator Summary'!J$8:J$26,MATCH($F161,'Allocator Summary'!$A$8:$A$28))*$E161</f>
        <v>361.58597046139499</v>
      </c>
      <c r="P161" s="64">
        <f>INDEX('Allocator Summary'!K$8:K$26,MATCH($F161,'Allocator Summary'!$A$8:$A$28))*$E161</f>
        <v>23485.116340677137</v>
      </c>
      <c r="Q161" s="64">
        <f>INDEX('Allocator Summary'!L$8:L$28,MATCH($F161,'Allocator Summary'!$A$8:$A$28))*$E161</f>
        <v>13705.262595004946</v>
      </c>
      <c r="R161" s="64">
        <f t="shared" si="71"/>
        <v>88883.999999999971</v>
      </c>
      <c r="S161" s="64">
        <f t="shared" si="72"/>
        <v>0</v>
      </c>
    </row>
    <row r="162" spans="2:19" x14ac:dyDescent="0.25">
      <c r="B162" s="83"/>
      <c r="C162" s="73" t="s">
        <v>7760</v>
      </c>
      <c r="D162" s="73"/>
      <c r="E162" s="306">
        <f>VLOOKUP($C162,'COSS Step 1'!$D$122:$U$145,18,FALSE)</f>
        <v>98926</v>
      </c>
      <c r="F162" s="36">
        <v>3</v>
      </c>
      <c r="G162" t="str">
        <f>INDEX('Allocator Summary'!$B$8:$B$28,MATCH($F162,'Allocator Summary'!$A$8:$A$28))</f>
        <v>Fixed O&amp;M</v>
      </c>
      <c r="H162" s="64">
        <f>INDEX('Allocator Summary'!C$8:C$28,MATCH($F162,'Allocator Summary'!$A$8:$A$28))*$E162</f>
        <v>2116.1031160817165</v>
      </c>
      <c r="I162" s="64">
        <f>INDEX('Allocator Summary'!D$8:D$28,MATCH($F162,'Allocator Summary'!$A$8:$A$28))*$E162</f>
        <v>17461.366575663877</v>
      </c>
      <c r="J162" s="64">
        <f>INDEX('Allocator Summary'!E$8:E$28,MATCH($F162,'Allocator Summary'!$A$8:$A$28))*$E162</f>
        <v>11516.08406416791</v>
      </c>
      <c r="K162" s="64">
        <f>INDEX('Allocator Summary'!F$8:F$28,MATCH($F162,'Allocator Summary'!$A$8:$A$28))*$E162</f>
        <v>5929.7955029797104</v>
      </c>
      <c r="L162" s="64">
        <f>INDEX('Allocator Summary'!G$8:G$28,MATCH($F162,'Allocator Summary'!$A$8:$A$28))*$E162</f>
        <v>18011.161463167991</v>
      </c>
      <c r="M162" s="64">
        <f>INDEX('Allocator Summary'!H$8:H$28,MATCH($F162,'Allocator Summary'!$A$8:$A$28))*$E162</f>
        <v>105.41372455786272</v>
      </c>
      <c r="N162" s="64">
        <f>INDEX('Allocator Summary'!I$8:I$28,MATCH($F162,'Allocator Summary'!$A$8:$A$28))*$E162</f>
        <v>1991.5379503798019</v>
      </c>
      <c r="O162" s="64">
        <f>INDEX('Allocator Summary'!J$8:J$26,MATCH($F162,'Allocator Summary'!$A$8:$A$28))*$E162</f>
        <v>402.43748834282843</v>
      </c>
      <c r="P162" s="64">
        <f>INDEX('Allocator Summary'!K$8:K$26,MATCH($F162,'Allocator Summary'!$A$8:$A$28))*$E162</f>
        <v>26138.434578977391</v>
      </c>
      <c r="Q162" s="64">
        <f>INDEX('Allocator Summary'!L$8:L$28,MATCH($F162,'Allocator Summary'!$A$8:$A$28))*$E162</f>
        <v>15253.665535680879</v>
      </c>
      <c r="R162" s="64">
        <f t="shared" si="71"/>
        <v>98925.999999999971</v>
      </c>
      <c r="S162" s="64">
        <f t="shared" si="72"/>
        <v>0</v>
      </c>
    </row>
    <row r="163" spans="2:19" x14ac:dyDescent="0.25">
      <c r="B163" s="70"/>
      <c r="C163" t="s">
        <v>7767</v>
      </c>
      <c r="E163" s="306">
        <f>VLOOKUP($C163,'COSS Step 1'!$D$122:$U$145,18,FALSE)</f>
        <v>6491</v>
      </c>
      <c r="F163" s="36">
        <v>3</v>
      </c>
      <c r="G163" t="str">
        <f>INDEX('Allocator Summary'!$B$8:$B$28,MATCH($F163,'Allocator Summary'!$A$8:$A$28))</f>
        <v>Fixed O&amp;M</v>
      </c>
      <c r="H163" s="64">
        <f>INDEX('Allocator Summary'!C$8:C$28,MATCH($F163,'Allocator Summary'!$A$8:$A$28))*$E163</f>
        <v>138.84747514795322</v>
      </c>
      <c r="I163" s="64">
        <f>INDEX('Allocator Summary'!D$8:D$28,MATCH($F163,'Allocator Summary'!$A$8:$A$28))*$E163</f>
        <v>1145.7223626006735</v>
      </c>
      <c r="J163" s="64">
        <f>INDEX('Allocator Summary'!E$8:E$28,MATCH($F163,'Allocator Summary'!$A$8:$A$28))*$E163</f>
        <v>755.62442290716194</v>
      </c>
      <c r="K163" s="64">
        <f>INDEX('Allocator Summary'!F$8:F$28,MATCH($F163,'Allocator Summary'!$A$8:$A$28))*$E163</f>
        <v>389.08176424641954</v>
      </c>
      <c r="L163" s="64">
        <f>INDEX('Allocator Summary'!G$8:G$28,MATCH($F163,'Allocator Summary'!$A$8:$A$28))*$E163</f>
        <v>1181.796990249514</v>
      </c>
      <c r="M163" s="64">
        <f>INDEX('Allocator Summary'!H$8:H$28,MATCH($F163,'Allocator Summary'!$A$8:$A$28))*$E163</f>
        <v>6.9166901128630185</v>
      </c>
      <c r="N163" s="64">
        <f>INDEX('Allocator Summary'!I$8:I$28,MATCH($F163,'Allocator Summary'!$A$8:$A$28))*$E163</f>
        <v>130.67416893349872</v>
      </c>
      <c r="O163" s="64">
        <f>INDEX('Allocator Summary'!J$8:J$26,MATCH($F163,'Allocator Summary'!$A$8:$A$28))*$E163</f>
        <v>26.405815830350964</v>
      </c>
      <c r="P163" s="64">
        <f>INDEX('Allocator Summary'!K$8:K$26,MATCH($F163,'Allocator Summary'!$A$8:$A$28))*$E163</f>
        <v>1715.0655929901363</v>
      </c>
      <c r="Q163" s="64">
        <f>INDEX('Allocator Summary'!L$8:L$28,MATCH($F163,'Allocator Summary'!$A$8:$A$28))*$E163</f>
        <v>1000.8647169814263</v>
      </c>
      <c r="R163" s="64">
        <f t="shared" si="71"/>
        <v>6490.9999999999973</v>
      </c>
      <c r="S163" s="64">
        <f t="shared" si="72"/>
        <v>0</v>
      </c>
    </row>
    <row r="164" spans="2:19" x14ac:dyDescent="0.25">
      <c r="B164" s="70"/>
      <c r="C164" t="s">
        <v>7774</v>
      </c>
      <c r="E164" s="306">
        <f>VLOOKUP($C164,'COSS Step 1'!$D$122:$U$145,18,FALSE)</f>
        <v>70279</v>
      </c>
      <c r="F164" s="36">
        <v>3</v>
      </c>
      <c r="G164" t="str">
        <f>INDEX('Allocator Summary'!$B$8:$B$28,MATCH($F164,'Allocator Summary'!$A$8:$A$28))</f>
        <v>Fixed O&amp;M</v>
      </c>
      <c r="H164" s="64">
        <f>INDEX('Allocator Summary'!C$8:C$28,MATCH($F164,'Allocator Summary'!$A$8:$A$28))*$E164</f>
        <v>1503.3217849211223</v>
      </c>
      <c r="I164" s="64">
        <f>INDEX('Allocator Summary'!D$8:D$28,MATCH($F164,'Allocator Summary'!$A$8:$A$28))*$E164</f>
        <v>12404.902468219494</v>
      </c>
      <c r="J164" s="64">
        <f>INDEX('Allocator Summary'!E$8:E$28,MATCH($F164,'Allocator Summary'!$A$8:$A$28))*$E164</f>
        <v>8181.2554024791925</v>
      </c>
      <c r="K164" s="64">
        <f>INDEX('Allocator Summary'!F$8:F$28,MATCH($F164,'Allocator Summary'!$A$8:$A$28))*$E164</f>
        <v>4212.6447865466216</v>
      </c>
      <c r="L164" s="64">
        <f>INDEX('Allocator Summary'!G$8:G$28,MATCH($F164,'Allocator Summary'!$A$8:$A$28))*$E164</f>
        <v>12795.487702626035</v>
      </c>
      <c r="M164" s="64">
        <f>INDEX('Allocator Summary'!H$8:H$28,MATCH($F164,'Allocator Summary'!$A$8:$A$28))*$E164</f>
        <v>74.888008695409042</v>
      </c>
      <c r="N164" s="64">
        <f>INDEX('Allocator Summary'!I$8:I$28,MATCH($F164,'Allocator Summary'!$A$8:$A$28))*$E164</f>
        <v>1414.8282111350109</v>
      </c>
      <c r="O164" s="64">
        <f>INDEX('Allocator Summary'!J$8:J$26,MATCH($F164,'Allocator Summary'!$A$8:$A$28))*$E164</f>
        <v>285.89960418136423</v>
      </c>
      <c r="P164" s="64">
        <f>INDEX('Allocator Summary'!K$8:K$26,MATCH($F164,'Allocator Summary'!$A$8:$A$28))*$E164</f>
        <v>18569.264336736065</v>
      </c>
      <c r="Q164" s="64">
        <f>INDEX('Allocator Summary'!L$8:L$28,MATCH($F164,'Allocator Summary'!$A$8:$A$28))*$E164</f>
        <v>10836.507694459662</v>
      </c>
      <c r="R164" s="64">
        <f t="shared" si="71"/>
        <v>70278.999999999985</v>
      </c>
      <c r="S164" s="64">
        <f t="shared" si="72"/>
        <v>0</v>
      </c>
    </row>
    <row r="165" spans="2:19" x14ac:dyDescent="0.25">
      <c r="B165" s="83"/>
      <c r="C165" s="73" t="s">
        <v>7794</v>
      </c>
      <c r="D165" s="73"/>
      <c r="E165" s="306">
        <f>VLOOKUP($C165,'COSS Step 1'!$D$122:$U$145,18,FALSE)</f>
        <v>140501</v>
      </c>
      <c r="F165" s="36">
        <v>4</v>
      </c>
      <c r="G165" t="str">
        <f>INDEX('Allocator Summary'!$B$8:$B$28,MATCH($F165,'Allocator Summary'!$A$8:$A$28))</f>
        <v>Labor</v>
      </c>
      <c r="H165" s="64">
        <f>INDEX('Allocator Summary'!C$8:C$28,MATCH($F165,'Allocator Summary'!$A$8:$A$28))*$E165</f>
        <v>0</v>
      </c>
      <c r="I165" s="64">
        <f>INDEX('Allocator Summary'!D$8:D$28,MATCH($F165,'Allocator Summary'!$A$8:$A$28))*$E165</f>
        <v>38262.814755265077</v>
      </c>
      <c r="J165" s="64">
        <f>INDEX('Allocator Summary'!E$8:E$28,MATCH($F165,'Allocator Summary'!$A$8:$A$28))*$E165</f>
        <v>22476.631443621027</v>
      </c>
      <c r="K165" s="64">
        <f>INDEX('Allocator Summary'!F$8:F$28,MATCH($F165,'Allocator Summary'!$A$8:$A$28))*$E165</f>
        <v>6833.0866574246838</v>
      </c>
      <c r="L165" s="64">
        <f>INDEX('Allocator Summary'!G$8:G$28,MATCH($F165,'Allocator Summary'!$A$8:$A$28))*$E165</f>
        <v>20754.81810744595</v>
      </c>
      <c r="M165" s="64">
        <f>INDEX('Allocator Summary'!H$8:H$28,MATCH($F165,'Allocator Summary'!$A$8:$A$28))*$E165</f>
        <v>106.58745177524362</v>
      </c>
      <c r="N165" s="64">
        <f>INDEX('Allocator Summary'!I$8:I$28,MATCH($F165,'Allocator Summary'!$A$8:$A$28))*$E165</f>
        <v>3766.9963983382395</v>
      </c>
      <c r="O165" s="64">
        <f>INDEX('Allocator Summary'!J$8:J$26,MATCH($F165,'Allocator Summary'!$A$8:$A$28))*$E165</f>
        <v>304.08105752874968</v>
      </c>
      <c r="P165" s="64">
        <f>INDEX('Allocator Summary'!K$8:K$26,MATCH($F165,'Allocator Summary'!$A$8:$A$28))*$E165</f>
        <v>36494.1628887681</v>
      </c>
      <c r="Q165" s="64">
        <f>INDEX('Allocator Summary'!L$8:L$28,MATCH($F165,'Allocator Summary'!$A$8:$A$28))*$E165</f>
        <v>11501.82123983294</v>
      </c>
      <c r="R165" s="64">
        <f t="shared" si="71"/>
        <v>140501</v>
      </c>
      <c r="S165" s="64">
        <f t="shared" si="72"/>
        <v>0</v>
      </c>
    </row>
    <row r="166" spans="2:19" x14ac:dyDescent="0.25">
      <c r="B166" s="83"/>
      <c r="C166" s="73" t="s">
        <v>7799</v>
      </c>
      <c r="D166" s="73"/>
      <c r="E166" s="306">
        <f>VLOOKUP($C166,'COSS Step 1'!$D$122:$U$145,18,FALSE)</f>
        <v>291781</v>
      </c>
      <c r="F166" s="36">
        <v>3</v>
      </c>
      <c r="G166" t="str">
        <f>INDEX('Allocator Summary'!$B$8:$B$28,MATCH($F166,'Allocator Summary'!$A$8:$A$28))</f>
        <v>Fixed O&amp;M</v>
      </c>
      <c r="H166" s="64">
        <f>INDEX('Allocator Summary'!C$8:C$28,MATCH($F166,'Allocator Summary'!$A$8:$A$28))*$E166</f>
        <v>6241.4196805029951</v>
      </c>
      <c r="I166" s="64">
        <f>INDEX('Allocator Summary'!D$8:D$28,MATCH($F166,'Allocator Summary'!$A$8:$A$28))*$E166</f>
        <v>51502.082372821926</v>
      </c>
      <c r="J166" s="64">
        <f>INDEX('Allocator Summary'!E$8:E$28,MATCH($F166,'Allocator Summary'!$A$8:$A$28))*$E166</f>
        <v>33966.545946737737</v>
      </c>
      <c r="K166" s="64">
        <f>INDEX('Allocator Summary'!F$8:F$28,MATCH($F166,'Allocator Summary'!$A$8:$A$28))*$E166</f>
        <v>17489.857688119635</v>
      </c>
      <c r="L166" s="64">
        <f>INDEX('Allocator Summary'!G$8:G$28,MATCH($F166,'Allocator Summary'!$A$8:$A$28))*$E166</f>
        <v>53123.695518717213</v>
      </c>
      <c r="M166" s="64">
        <f>INDEX('Allocator Summary'!H$8:H$28,MATCH($F166,'Allocator Summary'!$A$8:$A$28))*$E166</f>
        <v>310.91646245898698</v>
      </c>
      <c r="N166" s="64">
        <f>INDEX('Allocator Summary'!I$8:I$28,MATCH($F166,'Allocator Summary'!$A$8:$A$28))*$E166</f>
        <v>5874.0162818649187</v>
      </c>
      <c r="O166" s="64">
        <f>INDEX('Allocator Summary'!J$8:J$26,MATCH($F166,'Allocator Summary'!$A$8:$A$28))*$E166</f>
        <v>1186.9843396696401</v>
      </c>
      <c r="P166" s="64">
        <f>INDEX('Allocator Summary'!K$8:K$26,MATCH($F166,'Allocator Summary'!$A$8:$A$28))*$E166</f>
        <v>77094.985947967187</v>
      </c>
      <c r="Q166" s="64">
        <f>INDEX('Allocator Summary'!L$8:L$28,MATCH($F166,'Allocator Summary'!$A$8:$A$28))*$E166</f>
        <v>44990.495761139668</v>
      </c>
      <c r="R166" s="64">
        <f t="shared" si="71"/>
        <v>291780.99999999988</v>
      </c>
      <c r="S166" s="64">
        <f t="shared" si="72"/>
        <v>0</v>
      </c>
    </row>
    <row r="167" spans="2:19" x14ac:dyDescent="0.25">
      <c r="B167" s="83"/>
      <c r="C167" s="73" t="s">
        <v>7145</v>
      </c>
      <c r="D167" s="73"/>
      <c r="E167" s="306">
        <f>VLOOKUP($C167,'COSS Step 1'!$D$122:$U$145,18,FALSE)</f>
        <v>226441</v>
      </c>
      <c r="F167" s="36">
        <v>3</v>
      </c>
      <c r="G167" t="str">
        <f>INDEX('Allocator Summary'!$B$8:$B$28,MATCH($F167,'Allocator Summary'!$A$8:$A$28))</f>
        <v>Fixed O&amp;M</v>
      </c>
      <c r="H167" s="64">
        <f>INDEX('Allocator Summary'!C$8:C$28,MATCH($F167,'Allocator Summary'!$A$8:$A$28))*$E167</f>
        <v>4843.7468987794909</v>
      </c>
      <c r="I167" s="64">
        <f>INDEX('Allocator Summary'!D$8:D$28,MATCH($F167,'Allocator Summary'!$A$8:$A$28))*$E167</f>
        <v>39968.959714937468</v>
      </c>
      <c r="J167" s="64">
        <f>INDEX('Allocator Summary'!E$8:E$28,MATCH($F167,'Allocator Summary'!$A$8:$A$28))*$E167</f>
        <v>26360.244946467519</v>
      </c>
      <c r="K167" s="64">
        <f>INDEX('Allocator Summary'!F$8:F$28,MATCH($F167,'Allocator Summary'!$A$8:$A$28))*$E167</f>
        <v>13573.265102098827</v>
      </c>
      <c r="L167" s="64">
        <f>INDEX('Allocator Summary'!G$8:G$28,MATCH($F167,'Allocator Summary'!$A$8:$A$28))*$E167</f>
        <v>41227.436800044707</v>
      </c>
      <c r="M167" s="64">
        <f>INDEX('Allocator Summary'!H$8:H$28,MATCH($F167,'Allocator Summary'!$A$8:$A$28))*$E167</f>
        <v>241.29136124585037</v>
      </c>
      <c r="N167" s="64">
        <f>INDEX('Allocator Summary'!I$8:I$28,MATCH($F167,'Allocator Summary'!$A$8:$A$28))*$E167</f>
        <v>4558.6180076213805</v>
      </c>
      <c r="O167" s="64">
        <f>INDEX('Allocator Summary'!J$8:J$26,MATCH($F167,'Allocator Summary'!$A$8:$A$28))*$E167</f>
        <v>921.17691302426476</v>
      </c>
      <c r="P167" s="64">
        <f>INDEX('Allocator Summary'!K$8:K$26,MATCH($F167,'Allocator Summary'!$A$8:$A$28))*$E167</f>
        <v>59830.714518915345</v>
      </c>
      <c r="Q167" s="64">
        <f>INDEX('Allocator Summary'!L$8:L$28,MATCH($F167,'Allocator Summary'!$A$8:$A$28))*$E167</f>
        <v>34915.545736865068</v>
      </c>
      <c r="R167" s="64">
        <f t="shared" si="71"/>
        <v>226440.99999999994</v>
      </c>
      <c r="S167" s="64">
        <f t="shared" si="72"/>
        <v>0</v>
      </c>
    </row>
    <row r="168" spans="2:19" x14ac:dyDescent="0.25">
      <c r="B168" s="83"/>
      <c r="C168" s="73" t="s">
        <v>7836</v>
      </c>
      <c r="D168" s="73"/>
      <c r="E168" s="306">
        <f>VLOOKUP($C168,'COSS Step 1'!$D$122:$U$145,18,FALSE)</f>
        <v>204984</v>
      </c>
      <c r="F168" s="36">
        <v>3</v>
      </c>
      <c r="G168" t="str">
        <f>INDEX('Allocator Summary'!$B$8:$B$28,MATCH($F168,'Allocator Summary'!$A$8:$A$28))</f>
        <v>Fixed O&amp;M</v>
      </c>
      <c r="H168" s="64">
        <f>INDEX('Allocator Summary'!C$8:C$28,MATCH($F168,'Allocator Summary'!$A$8:$A$28))*$E168</f>
        <v>4384.7651896053067</v>
      </c>
      <c r="I168" s="64">
        <f>INDEX('Allocator Summary'!D$8:D$28,MATCH($F168,'Allocator Summary'!$A$8:$A$28))*$E168</f>
        <v>36181.598024239167</v>
      </c>
      <c r="J168" s="64">
        <f>INDEX('Allocator Summary'!E$8:E$28,MATCH($F168,'Allocator Summary'!$A$8:$A$28))*$E168</f>
        <v>23862.412063657634</v>
      </c>
      <c r="K168" s="64">
        <f>INDEX('Allocator Summary'!F$8:F$28,MATCH($F168,'Allocator Summary'!$A$8:$A$28))*$E168</f>
        <v>12287.095418623951</v>
      </c>
      <c r="L168" s="64">
        <f>INDEX('Allocator Summary'!G$8:G$28,MATCH($F168,'Allocator Summary'!$A$8:$A$28))*$E168</f>
        <v>37320.824872794081</v>
      </c>
      <c r="M168" s="64">
        <f>INDEX('Allocator Summary'!H$8:H$28,MATCH($F168,'Allocator Summary'!$A$8:$A$28))*$E168</f>
        <v>218.42717702898059</v>
      </c>
      <c r="N168" s="64">
        <f>INDEX('Allocator Summary'!I$8:I$28,MATCH($F168,'Allocator Summary'!$A$8:$A$28))*$E168</f>
        <v>4126.6544206846866</v>
      </c>
      <c r="O168" s="64">
        <f>INDEX('Allocator Summary'!J$8:J$26,MATCH($F168,'Allocator Summary'!$A$8:$A$28))*$E168</f>
        <v>833.88842276516129</v>
      </c>
      <c r="P168" s="64">
        <f>INDEX('Allocator Summary'!K$8:K$26,MATCH($F168,'Allocator Summary'!$A$8:$A$28))*$E168</f>
        <v>54161.301111306442</v>
      </c>
      <c r="Q168" s="64">
        <f>INDEX('Allocator Summary'!L$8:L$28,MATCH($F168,'Allocator Summary'!$A$8:$A$28))*$E168</f>
        <v>31607.033299294515</v>
      </c>
      <c r="R168" s="64">
        <f t="shared" ref="R168" si="76">SUM(H168:Q168)</f>
        <v>204983.99999999991</v>
      </c>
      <c r="S168" s="64">
        <f t="shared" si="72"/>
        <v>0</v>
      </c>
    </row>
    <row r="169" spans="2:19" x14ac:dyDescent="0.25">
      <c r="B169" s="83"/>
      <c r="C169" s="73" t="s">
        <v>7846</v>
      </c>
      <c r="D169" s="73"/>
      <c r="E169" s="306">
        <f>VLOOKUP($C169,'COSS Step 1'!$D$122:$U$145,18,FALSE)</f>
        <v>2422</v>
      </c>
      <c r="F169" s="36">
        <v>3</v>
      </c>
      <c r="G169" t="str">
        <f>INDEX('Allocator Summary'!$B$8:$B$28,MATCH($F169,'Allocator Summary'!$A$8:$A$28))</f>
        <v>Fixed O&amp;M</v>
      </c>
      <c r="H169" s="64">
        <f>INDEX('Allocator Summary'!C$8:C$28,MATCH($F169,'Allocator Summary'!$A$8:$A$28))*$E169</f>
        <v>51.80844011837047</v>
      </c>
      <c r="I169" s="64">
        <f>INDEX('Allocator Summary'!D$8:D$28,MATCH($F169,'Allocator Summary'!$A$8:$A$28))*$E169</f>
        <v>427.50570978567725</v>
      </c>
      <c r="J169" s="64">
        <f>INDEX('Allocator Summary'!E$8:E$28,MATCH($F169,'Allocator Summary'!$A$8:$A$28))*$E169</f>
        <v>281.94767405348119</v>
      </c>
      <c r="K169" s="64">
        <f>INDEX('Allocator Summary'!F$8:F$28,MATCH($F169,'Allocator Summary'!$A$8:$A$28))*$E169</f>
        <v>145.1788681258401</v>
      </c>
      <c r="L169" s="64">
        <f>INDEX('Allocator Summary'!G$8:G$28,MATCH($F169,'Allocator Summary'!$A$8:$A$28))*$E169</f>
        <v>440.96630879438038</v>
      </c>
      <c r="M169" s="64">
        <f>INDEX('Allocator Summary'!H$8:H$28,MATCH($F169,'Allocator Summary'!$A$8:$A$28))*$E169</f>
        <v>2.580838615522143</v>
      </c>
      <c r="N169" s="64">
        <f>INDEX('Allocator Summary'!I$8:I$28,MATCH($F169,'Allocator Summary'!$A$8:$A$28))*$E169</f>
        <v>48.758717787233692</v>
      </c>
      <c r="O169" s="64">
        <f>INDEX('Allocator Summary'!J$8:J$26,MATCH($F169,'Allocator Summary'!$A$8:$A$28))*$E169</f>
        <v>9.8528556372069076</v>
      </c>
      <c r="P169" s="64">
        <f>INDEX('Allocator Summary'!K$8:K$26,MATCH($F169,'Allocator Summary'!$A$8:$A$28))*$E169</f>
        <v>639.94590451734871</v>
      </c>
      <c r="Q169" s="64">
        <f>INDEX('Allocator Summary'!L$8:L$28,MATCH($F169,'Allocator Summary'!$A$8:$A$28))*$E169</f>
        <v>373.45468256493831</v>
      </c>
      <c r="R169" s="64">
        <f t="shared" ref="R169" si="77">SUM(H169:Q169)</f>
        <v>2421.9999999999991</v>
      </c>
      <c r="S169" s="64">
        <f t="shared" si="72"/>
        <v>0</v>
      </c>
    </row>
    <row r="170" spans="2:19" x14ac:dyDescent="0.25">
      <c r="B170" s="83"/>
      <c r="C170" s="73" t="s">
        <v>7857</v>
      </c>
      <c r="D170" s="73"/>
      <c r="E170" s="306">
        <f>VLOOKUP($C170,'COSS Step 1'!$D$122:$U$145,18,FALSE)</f>
        <v>0</v>
      </c>
      <c r="F170" s="36">
        <v>3</v>
      </c>
      <c r="G170" t="str">
        <f>INDEX('Allocator Summary'!$B$8:$B$28,MATCH($F170,'Allocator Summary'!$A$8:$A$28))</f>
        <v>Fixed O&amp;M</v>
      </c>
      <c r="H170" s="64">
        <f>INDEX('Allocator Summary'!C$8:C$28,MATCH($F170,'Allocator Summary'!$A$8:$A$28))*$E170</f>
        <v>0</v>
      </c>
      <c r="I170" s="64">
        <f>INDEX('Allocator Summary'!D$8:D$28,MATCH($F170,'Allocator Summary'!$A$8:$A$28))*$E170</f>
        <v>0</v>
      </c>
      <c r="J170" s="64">
        <f>INDEX('Allocator Summary'!E$8:E$28,MATCH($F170,'Allocator Summary'!$A$8:$A$28))*$E170</f>
        <v>0</v>
      </c>
      <c r="K170" s="64">
        <f>INDEX('Allocator Summary'!F$8:F$28,MATCH($F170,'Allocator Summary'!$A$8:$A$28))*$E170</f>
        <v>0</v>
      </c>
      <c r="L170" s="64">
        <f>INDEX('Allocator Summary'!G$8:G$28,MATCH($F170,'Allocator Summary'!$A$8:$A$28))*$E170</f>
        <v>0</v>
      </c>
      <c r="M170" s="64">
        <f>INDEX('Allocator Summary'!H$8:H$28,MATCH($F170,'Allocator Summary'!$A$8:$A$28))*$E170</f>
        <v>0</v>
      </c>
      <c r="N170" s="64">
        <f>INDEX('Allocator Summary'!I$8:I$28,MATCH($F170,'Allocator Summary'!$A$8:$A$28))*$E170</f>
        <v>0</v>
      </c>
      <c r="O170" s="64">
        <f>INDEX('Allocator Summary'!J$8:J$26,MATCH($F170,'Allocator Summary'!$A$8:$A$28))*$E170</f>
        <v>0</v>
      </c>
      <c r="P170" s="64">
        <f>INDEX('Allocator Summary'!K$8:K$26,MATCH($F170,'Allocator Summary'!$A$8:$A$28))*$E170</f>
        <v>0</v>
      </c>
      <c r="Q170" s="64">
        <f>INDEX('Allocator Summary'!L$8:L$28,MATCH($F170,'Allocator Summary'!$A$8:$A$28))*$E170</f>
        <v>0</v>
      </c>
      <c r="R170" s="64">
        <f t="shared" ref="R170" si="78">SUM(H170:Q170)</f>
        <v>0</v>
      </c>
      <c r="S170" s="64">
        <f t="shared" si="72"/>
        <v>0</v>
      </c>
    </row>
    <row r="171" spans="2:19" x14ac:dyDescent="0.25">
      <c r="B171" s="83"/>
      <c r="C171" s="84" t="s">
        <v>7860</v>
      </c>
      <c r="D171" s="84"/>
      <c r="E171" s="306">
        <f>VLOOKUP($C171,'COSS Step 1'!$D$122:$U$145,18,FALSE)</f>
        <v>496917</v>
      </c>
      <c r="F171" s="75">
        <v>3</v>
      </c>
      <c r="G171" s="66" t="str">
        <f>INDEX('Allocator Summary'!$B$8:$B$28,MATCH($F171,'Allocator Summary'!$A$8:$A$28))</f>
        <v>Fixed O&amp;M</v>
      </c>
      <c r="H171" s="76">
        <f>INDEX('Allocator Summary'!C$8:C$28,MATCH($F171,'Allocator Summary'!$A$8:$A$28))*$E171</f>
        <v>10629.436266845705</v>
      </c>
      <c r="I171" s="76">
        <f>INDEX('Allocator Summary'!D$8:D$28,MATCH($F171,'Allocator Summary'!$A$8:$A$28))*$E171</f>
        <v>87710.509822282984</v>
      </c>
      <c r="J171" s="76">
        <f>INDEX('Allocator Summary'!E$8:E$28,MATCH($F171,'Allocator Summary'!$A$8:$A$28))*$E171</f>
        <v>57846.652496958588</v>
      </c>
      <c r="K171" s="76">
        <f>INDEX('Allocator Summary'!F$8:F$28,MATCH($F171,'Allocator Summary'!$A$8:$A$28))*$E171</f>
        <v>29786.064249582199</v>
      </c>
      <c r="L171" s="76">
        <f>INDEX('Allocator Summary'!G$8:G$28,MATCH($F171,'Allocator Summary'!$A$8:$A$28))*$E171</f>
        <v>90472.194577694929</v>
      </c>
      <c r="M171" s="76">
        <f>INDEX('Allocator Summary'!H$8:H$28,MATCH($F171,'Allocator Summary'!$A$8:$A$28))*$E171</f>
        <v>529.50560788993255</v>
      </c>
      <c r="N171" s="76">
        <f>INDEX('Allocator Summary'!I$8:I$28,MATCH($F171,'Allocator Summary'!$A$8:$A$28))*$E171</f>
        <v>10003.730704656815</v>
      </c>
      <c r="O171" s="76">
        <f>INDEX('Allocator Summary'!J$8:J$26,MATCH($F171,'Allocator Summary'!$A$8:$A$28))*$E171</f>
        <v>2021.4911084533214</v>
      </c>
      <c r="P171" s="76">
        <f>INDEX('Allocator Summary'!K$8:K$26,MATCH($F171,'Allocator Summary'!$A$8:$A$28))*$E171</f>
        <v>131296.44881711286</v>
      </c>
      <c r="Q171" s="76">
        <f>INDEX('Allocator Summary'!L$8:L$28,MATCH($F171,'Allocator Summary'!$A$8:$A$28))*$E171</f>
        <v>76620.966348522488</v>
      </c>
      <c r="R171" s="76">
        <f t="shared" si="71"/>
        <v>496916.99999999977</v>
      </c>
      <c r="S171" s="76">
        <f t="shared" si="72"/>
        <v>0</v>
      </c>
    </row>
    <row r="172" spans="2:19" x14ac:dyDescent="0.25">
      <c r="E172" s="201">
        <f>SUM(E153:E171)</f>
        <v>9378400.8414382711</v>
      </c>
      <c r="H172" s="64">
        <f t="shared" ref="H172:S172" si="79">SUM(H153:H171)</f>
        <v>91969.327280098994</v>
      </c>
      <c r="I172" s="64">
        <f t="shared" si="79"/>
        <v>2142046.797175867</v>
      </c>
      <c r="J172" s="64">
        <f t="shared" si="79"/>
        <v>1313006.6588193148</v>
      </c>
      <c r="K172" s="64">
        <f t="shared" si="79"/>
        <v>504725.17137869756</v>
      </c>
      <c r="L172" s="64">
        <f t="shared" si="79"/>
        <v>1533052.2868214943</v>
      </c>
      <c r="M172" s="64">
        <f t="shared" si="79"/>
        <v>8434.4408760102087</v>
      </c>
      <c r="N172" s="64">
        <f t="shared" si="79"/>
        <v>222727.15183413515</v>
      </c>
      <c r="O172" s="64">
        <f t="shared" si="79"/>
        <v>28482.699552058926</v>
      </c>
      <c r="P172" s="64">
        <f t="shared" si="79"/>
        <v>2455232.1841118978</v>
      </c>
      <c r="Q172" s="64">
        <f t="shared" si="79"/>
        <v>1078724.1235886945</v>
      </c>
      <c r="R172" s="64">
        <f t="shared" si="79"/>
        <v>9378400.8414382692</v>
      </c>
      <c r="S172" s="64">
        <f t="shared" si="79"/>
        <v>0</v>
      </c>
    </row>
    <row r="174" spans="2:19" x14ac:dyDescent="0.25">
      <c r="B174" t="s">
        <v>8</v>
      </c>
      <c r="C174" s="73"/>
      <c r="D174" s="73"/>
    </row>
    <row r="175" spans="2:19" x14ac:dyDescent="0.25">
      <c r="B175" s="83"/>
      <c r="C175" s="73" t="str">
        <f>'COSS Step 1'!D149</f>
        <v>Salaries and wages</v>
      </c>
      <c r="D175" s="73"/>
      <c r="E175" s="306">
        <f>VLOOKUP($C175,'COSS Step 1'!$D$149:$U$150,18,FALSE)</f>
        <v>0</v>
      </c>
      <c r="F175" s="36">
        <v>4</v>
      </c>
      <c r="G175" t="str">
        <f>INDEX('Allocator Summary'!$B$8:$B$28,MATCH($F175,'Allocator Summary'!$A$8:$A$28))</f>
        <v>Labor</v>
      </c>
      <c r="H175" s="64">
        <f>INDEX('Allocator Summary'!C$8:C$28,MATCH($F175,'Allocator Summary'!$A$8:$A$28))*$E175</f>
        <v>0</v>
      </c>
      <c r="I175" s="64">
        <f>INDEX('Allocator Summary'!D$8:D$28,MATCH($F175,'Allocator Summary'!$A$8:$A$28))*$E175</f>
        <v>0</v>
      </c>
      <c r="J175" s="64">
        <f>INDEX('Allocator Summary'!E$8:E$28,MATCH($F175,'Allocator Summary'!$A$8:$A$28))*$E175</f>
        <v>0</v>
      </c>
      <c r="K175" s="64">
        <f>INDEX('Allocator Summary'!F$8:F$28,MATCH($F175,'Allocator Summary'!$A$8:$A$28))*$E175</f>
        <v>0</v>
      </c>
      <c r="L175" s="64">
        <f>INDEX('Allocator Summary'!G$8:G$28,MATCH($F175,'Allocator Summary'!$A$8:$A$28))*$E175</f>
        <v>0</v>
      </c>
      <c r="M175" s="64">
        <f>INDEX('Allocator Summary'!H$8:H$28,MATCH($F175,'Allocator Summary'!$A$8:$A$28))*$E175</f>
        <v>0</v>
      </c>
      <c r="N175" s="64">
        <f>INDEX('Allocator Summary'!I$8:I$28,MATCH($F175,'Allocator Summary'!$A$8:$A$28))*$E175</f>
        <v>0</v>
      </c>
      <c r="O175" s="64">
        <f>INDEX('Allocator Summary'!J$8:J$26,MATCH($F175,'Allocator Summary'!$A$8:$A$28))*$E175</f>
        <v>0</v>
      </c>
      <c r="P175" s="64">
        <f>INDEX('Allocator Summary'!K$8:K$26,MATCH($F175,'Allocator Summary'!$A$8:$A$28))*$E175</f>
        <v>0</v>
      </c>
      <c r="Q175" s="64">
        <f>INDEX('Allocator Summary'!L$8:L$28,MATCH($F175,'Allocator Summary'!$A$8:$A$28))*$E175</f>
        <v>0</v>
      </c>
      <c r="R175" s="64">
        <f t="shared" ref="R175:R176" si="80">SUM(H175:Q175)</f>
        <v>0</v>
      </c>
      <c r="S175" s="64">
        <f>R175-E175</f>
        <v>0</v>
      </c>
    </row>
    <row r="176" spans="2:19" x14ac:dyDescent="0.25">
      <c r="B176" s="83"/>
      <c r="C176" s="84" t="str">
        <f>'COSS Step 1'!D150</f>
        <v>Maintenance supplies and services</v>
      </c>
      <c r="D176" s="84"/>
      <c r="E176" s="306">
        <f>VLOOKUP($C176,'COSS Step 1'!$D$149:$U$150,18,FALSE)</f>
        <v>8950</v>
      </c>
      <c r="F176" s="75">
        <v>3</v>
      </c>
      <c r="G176" s="66" t="str">
        <f>INDEX('Allocator Summary'!$B$8:$B$28,MATCH($F176,'Allocator Summary'!$A$8:$A$28))</f>
        <v>Fixed O&amp;M</v>
      </c>
      <c r="H176" s="76">
        <f>INDEX('Allocator Summary'!C$8:C$28,MATCH($F176,'Allocator Summary'!$A$8:$A$28))*$E176</f>
        <v>191.44737368266544</v>
      </c>
      <c r="I176" s="76">
        <f>INDEX('Allocator Summary'!D$8:D$28,MATCH($F176,'Allocator Summary'!$A$8:$A$28))*$E176</f>
        <v>1579.758919315364</v>
      </c>
      <c r="J176" s="76">
        <f>INDEX('Allocator Summary'!E$8:E$28,MATCH($F176,'Allocator Summary'!$A$8:$A$28))*$E176</f>
        <v>1041.8793075056385</v>
      </c>
      <c r="K176" s="76">
        <f>INDEX('Allocator Summary'!F$8:F$28,MATCH($F176,'Allocator Summary'!$A$8:$A$28))*$E176</f>
        <v>536.47847635271216</v>
      </c>
      <c r="L176" s="76">
        <f>INDEX('Allocator Summary'!G$8:G$28,MATCH($F176,'Allocator Summary'!$A$8:$A$28))*$E176</f>
        <v>1629.4997785754354</v>
      </c>
      <c r="M176" s="76">
        <f>INDEX('Allocator Summary'!H$8:H$28,MATCH($F176,'Allocator Summary'!$A$8:$A$28))*$E176</f>
        <v>9.5369552472845509</v>
      </c>
      <c r="N176" s="76">
        <f>INDEX('Allocator Summary'!I$8:I$28,MATCH($F176,'Allocator Summary'!$A$8:$A$28))*$E176</f>
        <v>180.177755654724</v>
      </c>
      <c r="O176" s="76">
        <f>INDEX('Allocator Summary'!J$8:J$26,MATCH($F176,'Allocator Summary'!$A$8:$A$28))*$E176</f>
        <v>36.409189906276552</v>
      </c>
      <c r="P176" s="76">
        <f>INDEX('Allocator Summary'!K$8:K$26,MATCH($F176,'Allocator Summary'!$A$8:$A$28))*$E176</f>
        <v>2364.7877148762473</v>
      </c>
      <c r="Q176" s="76">
        <f>INDEX('Allocator Summary'!L$8:L$28,MATCH($F176,'Allocator Summary'!$A$8:$A$28))*$E176</f>
        <v>1380.0245288836491</v>
      </c>
      <c r="R176" s="76">
        <f t="shared" si="80"/>
        <v>8949.9999999999982</v>
      </c>
      <c r="S176" s="76">
        <f>R176-E176</f>
        <v>0</v>
      </c>
    </row>
    <row r="177" spans="1:19" x14ac:dyDescent="0.25">
      <c r="B177" s="83"/>
      <c r="E177" s="187">
        <f>SUM(E175:E176)</f>
        <v>8950</v>
      </c>
      <c r="H177" s="3">
        <f t="shared" ref="H177:S177" si="81">SUM(H175:H176)</f>
        <v>191.44737368266544</v>
      </c>
      <c r="I177" s="3">
        <f t="shared" si="81"/>
        <v>1579.758919315364</v>
      </c>
      <c r="J177" s="3">
        <f t="shared" si="81"/>
        <v>1041.8793075056385</v>
      </c>
      <c r="K177" s="3">
        <f t="shared" si="81"/>
        <v>536.47847635271216</v>
      </c>
      <c r="L177" s="3">
        <f t="shared" si="81"/>
        <v>1629.4997785754354</v>
      </c>
      <c r="M177" s="3">
        <f t="shared" si="81"/>
        <v>9.5369552472845509</v>
      </c>
      <c r="N177" s="3">
        <f t="shared" si="81"/>
        <v>180.177755654724</v>
      </c>
      <c r="O177" s="3">
        <f t="shared" si="81"/>
        <v>36.409189906276552</v>
      </c>
      <c r="P177" s="3">
        <f t="shared" si="81"/>
        <v>2364.7877148762473</v>
      </c>
      <c r="Q177" s="3">
        <f t="shared" si="81"/>
        <v>1380.0245288836491</v>
      </c>
      <c r="R177" s="3">
        <f t="shared" si="81"/>
        <v>8949.9999999999982</v>
      </c>
      <c r="S177" s="3">
        <f t="shared" si="81"/>
        <v>0</v>
      </c>
    </row>
    <row r="178" spans="1:19" x14ac:dyDescent="0.25">
      <c r="B178" s="83"/>
      <c r="C178" s="73"/>
      <c r="D178" s="73"/>
      <c r="E178" s="312"/>
      <c r="F178" s="36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</row>
    <row r="179" spans="1:19" x14ac:dyDescent="0.25">
      <c r="C179" s="1" t="s">
        <v>7016</v>
      </c>
      <c r="D179" s="1"/>
      <c r="E179" s="307">
        <f>E172+E177</f>
        <v>9387350.8414382711</v>
      </c>
      <c r="H179" s="82">
        <f t="shared" ref="H179:S179" si="82">H172+H177</f>
        <v>92160.774653781657</v>
      </c>
      <c r="I179" s="82">
        <f t="shared" si="82"/>
        <v>2143626.5560951824</v>
      </c>
      <c r="J179" s="82">
        <f t="shared" si="82"/>
        <v>1314048.5381268205</v>
      </c>
      <c r="K179" s="82">
        <f t="shared" si="82"/>
        <v>505261.64985505026</v>
      </c>
      <c r="L179" s="82">
        <f t="shared" si="82"/>
        <v>1534681.7866000698</v>
      </c>
      <c r="M179" s="82">
        <f t="shared" si="82"/>
        <v>8443.9778312574927</v>
      </c>
      <c r="N179" s="82">
        <f t="shared" si="82"/>
        <v>222907.32958978988</v>
      </c>
      <c r="O179" s="82">
        <f t="shared" si="82"/>
        <v>28519.108741965203</v>
      </c>
      <c r="P179" s="82">
        <f t="shared" si="82"/>
        <v>2457596.9718267741</v>
      </c>
      <c r="Q179" s="82">
        <f t="shared" si="82"/>
        <v>1080104.1481175781</v>
      </c>
      <c r="R179" s="82">
        <f t="shared" si="82"/>
        <v>9387350.8414382692</v>
      </c>
      <c r="S179" s="82">
        <f t="shared" si="82"/>
        <v>0</v>
      </c>
    </row>
    <row r="181" spans="1:19" x14ac:dyDescent="0.25">
      <c r="C181" s="5" t="s">
        <v>7161</v>
      </c>
      <c r="D181" s="5"/>
      <c r="E181" s="314">
        <f>E21+E39+E58+E78+E89+E102+E115+E127+E135+E149+E179</f>
        <v>18289070</v>
      </c>
      <c r="F181" s="54"/>
      <c r="H181" s="85">
        <f t="shared" ref="H181:S181" si="83">H21+H39+H58+H78+H89+H102+H115+H127+H135+H149+H179</f>
        <v>397467.15577755822</v>
      </c>
      <c r="I181" s="85">
        <f t="shared" si="83"/>
        <v>4279038.3165099286</v>
      </c>
      <c r="J181" s="85">
        <f t="shared" si="83"/>
        <v>3579916.7381268209</v>
      </c>
      <c r="K181" s="85">
        <f t="shared" si="83"/>
        <v>873303.93013782753</v>
      </c>
      <c r="L181" s="85">
        <f t="shared" si="83"/>
        <v>2652573.4461209821</v>
      </c>
      <c r="M181" s="85">
        <f t="shared" si="83"/>
        <v>15044.265265777027</v>
      </c>
      <c r="N181" s="85">
        <f t="shared" si="83"/>
        <v>347603.8334311404</v>
      </c>
      <c r="O181" s="85">
        <f t="shared" si="83"/>
        <v>53341.597520652038</v>
      </c>
      <c r="P181" s="85">
        <f t="shared" si="83"/>
        <v>4069825.0018267739</v>
      </c>
      <c r="Q181" s="85">
        <f t="shared" si="83"/>
        <v>2020955.7152825389</v>
      </c>
      <c r="R181" s="85">
        <f t="shared" si="83"/>
        <v>18289070</v>
      </c>
      <c r="S181" s="85">
        <f t="shared" si="83"/>
        <v>0</v>
      </c>
    </row>
    <row r="182" spans="1:19" x14ac:dyDescent="0.25">
      <c r="C182" s="118"/>
      <c r="D182" s="118"/>
      <c r="E182" s="315"/>
      <c r="F182" s="54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</row>
    <row r="184" spans="1:19" x14ac:dyDescent="0.25">
      <c r="A184" s="4" t="s">
        <v>7168</v>
      </c>
      <c r="B184" s="54"/>
      <c r="C184" s="54"/>
    </row>
    <row r="185" spans="1:19" x14ac:dyDescent="0.25">
      <c r="A185" s="54"/>
      <c r="B185" s="4" t="s">
        <v>20</v>
      </c>
      <c r="C185" s="4"/>
    </row>
    <row r="186" spans="1:19" x14ac:dyDescent="0.25">
      <c r="A186" s="88"/>
      <c r="B186" s="89"/>
      <c r="C186" s="2" t="s">
        <v>7975</v>
      </c>
      <c r="E186" s="306">
        <f>+'COSS Step 1'!F164</f>
        <v>0</v>
      </c>
      <c r="F186" s="36">
        <v>5</v>
      </c>
      <c r="G186" t="str">
        <f>INDEX('Allocator Summary'!$B$8:$B$28,MATCH($F186,'Allocator Summary'!$A$8:$A$28))</f>
        <v>Net Plant (less gen. and int.)</v>
      </c>
      <c r="H186" s="64">
        <f>INDEX('Allocator Summary'!C$8:C$28,MATCH($F186,'Allocator Summary'!$A$8:$A$28))*$E186</f>
        <v>0</v>
      </c>
      <c r="I186" s="64">
        <f>INDEX('Allocator Summary'!D$8:D$28,MATCH($F186,'Allocator Summary'!$A$8:$A$28))*$E186</f>
        <v>0</v>
      </c>
      <c r="J186" s="64">
        <f>INDEX('Allocator Summary'!E$8:E$28,MATCH($F186,'Allocator Summary'!$A$8:$A$28))*$E186</f>
        <v>0</v>
      </c>
      <c r="K186" s="64">
        <f>INDEX('Allocator Summary'!F$8:F$28,MATCH($F186,'Allocator Summary'!$A$8:$A$28))*$E186</f>
        <v>0</v>
      </c>
      <c r="L186" s="64">
        <f>INDEX('Allocator Summary'!G$8:G$28,MATCH($F186,'Allocator Summary'!$A$8:$A$28))*$E186</f>
        <v>0</v>
      </c>
      <c r="M186" s="64">
        <f>INDEX('Allocator Summary'!H$8:H$28,MATCH($F186,'Allocator Summary'!$A$8:$A$28))*$E186</f>
        <v>0</v>
      </c>
      <c r="N186" s="64">
        <f>INDEX('Allocator Summary'!I$8:I$28,MATCH($F186,'Allocator Summary'!$A$8:$A$28))*$E186</f>
        <v>0</v>
      </c>
      <c r="O186" s="64">
        <f>INDEX('Allocator Summary'!J$8:J$26,MATCH($F186,'Allocator Summary'!$A$8:$A$28))*$E186</f>
        <v>0</v>
      </c>
      <c r="P186" s="64">
        <f>INDEX('Allocator Summary'!K$8:K$26,MATCH($F186,'Allocator Summary'!$A$8:$A$28))*$E186</f>
        <v>0</v>
      </c>
      <c r="Q186" s="64">
        <f>INDEX('Allocator Summary'!L$8:L$28,MATCH($F186,'Allocator Summary'!$A$8:$A$28))*$E186</f>
        <v>0</v>
      </c>
      <c r="R186" s="64">
        <f t="shared" ref="R186:R188" si="84">SUM(H186:Q186)</f>
        <v>0</v>
      </c>
      <c r="S186" s="64">
        <f>R186-E186</f>
        <v>0</v>
      </c>
    </row>
    <row r="187" spans="1:19" x14ac:dyDescent="0.25">
      <c r="A187" s="90"/>
      <c r="B187" s="89"/>
      <c r="C187" s="2" t="s">
        <v>7977</v>
      </c>
      <c r="E187" s="306">
        <f>+'COSS Step 1'!F165</f>
        <v>0</v>
      </c>
      <c r="F187" s="36">
        <v>5</v>
      </c>
      <c r="G187" t="str">
        <f>INDEX('Allocator Summary'!$B$8:$B$28,MATCH($F187,'Allocator Summary'!$A$8:$A$28))</f>
        <v>Net Plant (less gen. and int.)</v>
      </c>
      <c r="H187" s="64">
        <f>INDEX('Allocator Summary'!C$8:C$28,MATCH($F187,'Allocator Summary'!$A$8:$A$28))*$E187</f>
        <v>0</v>
      </c>
      <c r="I187" s="64">
        <f>INDEX('Allocator Summary'!D$8:D$28,MATCH($F187,'Allocator Summary'!$A$8:$A$28))*$E187</f>
        <v>0</v>
      </c>
      <c r="J187" s="64">
        <f>INDEX('Allocator Summary'!E$8:E$28,MATCH($F187,'Allocator Summary'!$A$8:$A$28))*$E187</f>
        <v>0</v>
      </c>
      <c r="K187" s="64">
        <f>INDEX('Allocator Summary'!F$8:F$28,MATCH($F187,'Allocator Summary'!$A$8:$A$28))*$E187</f>
        <v>0</v>
      </c>
      <c r="L187" s="64">
        <f>INDEX('Allocator Summary'!G$8:G$28,MATCH($F187,'Allocator Summary'!$A$8:$A$28))*$E187</f>
        <v>0</v>
      </c>
      <c r="M187" s="64">
        <f>INDEX('Allocator Summary'!H$8:H$28,MATCH($F187,'Allocator Summary'!$A$8:$A$28))*$E187</f>
        <v>0</v>
      </c>
      <c r="N187" s="64">
        <f>INDEX('Allocator Summary'!I$8:I$28,MATCH($F187,'Allocator Summary'!$A$8:$A$28))*$E187</f>
        <v>0</v>
      </c>
      <c r="O187" s="64">
        <f>INDEX('Allocator Summary'!J$8:J$26,MATCH($F187,'Allocator Summary'!$A$8:$A$28))*$E187</f>
        <v>0</v>
      </c>
      <c r="P187" s="64">
        <f>INDEX('Allocator Summary'!K$8:K$26,MATCH($F187,'Allocator Summary'!$A$8:$A$28))*$E187</f>
        <v>0</v>
      </c>
      <c r="Q187" s="64">
        <f>INDEX('Allocator Summary'!L$8:L$28,MATCH($F187,'Allocator Summary'!$A$8:$A$28))*$E187</f>
        <v>0</v>
      </c>
      <c r="R187" s="64">
        <f t="shared" si="84"/>
        <v>0</v>
      </c>
      <c r="S187" s="64">
        <f>R187-E187</f>
        <v>0</v>
      </c>
    </row>
    <row r="188" spans="1:19" x14ac:dyDescent="0.25">
      <c r="A188" s="88"/>
      <c r="B188" s="89"/>
      <c r="C188" s="2" t="s">
        <v>7979</v>
      </c>
      <c r="E188" s="306">
        <f>+'COSS Step 1'!F166</f>
        <v>69883</v>
      </c>
      <c r="F188" s="36">
        <v>5</v>
      </c>
      <c r="G188" t="str">
        <f>INDEX('Allocator Summary'!$B$8:$B$28,MATCH($F188,'Allocator Summary'!$A$8:$A$28))</f>
        <v>Net Plant (less gen. and int.)</v>
      </c>
      <c r="H188" s="64">
        <f>INDEX('Allocator Summary'!C$8:C$28,MATCH($F188,'Allocator Summary'!$A$8:$A$28))*$E188</f>
        <v>1526.6445636077428</v>
      </c>
      <c r="I188" s="64">
        <f>INDEX('Allocator Summary'!D$8:D$28,MATCH($F188,'Allocator Summary'!$A$8:$A$28))*$E188</f>
        <v>4159.4198558064354</v>
      </c>
      <c r="J188" s="64">
        <f>INDEX('Allocator Summary'!E$8:E$28,MATCH($F188,'Allocator Summary'!$A$8:$A$28))*$E188</f>
        <v>10180.343717500256</v>
      </c>
      <c r="K188" s="64">
        <f>INDEX('Allocator Summary'!F$8:F$28,MATCH($F188,'Allocator Summary'!$A$8:$A$28))*$E188</f>
        <v>14311.046323732166</v>
      </c>
      <c r="L188" s="64">
        <f>INDEX('Allocator Summary'!G$8:G$28,MATCH($F188,'Allocator Summary'!$A$8:$A$28))*$E188</f>
        <v>25970.341459486393</v>
      </c>
      <c r="M188" s="64">
        <f>INDEX('Allocator Summary'!H$8:H$28,MATCH($F188,'Allocator Summary'!$A$8:$A$28))*$E188</f>
        <v>2384.9457775706087</v>
      </c>
      <c r="N188" s="64">
        <f>INDEX('Allocator Summary'!I$8:I$28,MATCH($F188,'Allocator Summary'!$A$8:$A$28))*$E188</f>
        <v>3862.752314068839</v>
      </c>
      <c r="O188" s="64">
        <f>INDEX('Allocator Summary'!J$8:J$26,MATCH($F188,'Allocator Summary'!$A$8:$A$28))*$E188</f>
        <v>1506.130759305039</v>
      </c>
      <c r="P188" s="64">
        <f>INDEX('Allocator Summary'!K$8:K$26,MATCH($F188,'Allocator Summary'!$A$8:$A$28))*$E188</f>
        <v>1242.5529543906275</v>
      </c>
      <c r="Q188" s="64">
        <f>INDEX('Allocator Summary'!L$8:L$28,MATCH($F188,'Allocator Summary'!$A$8:$A$28))*$E188</f>
        <v>4738.8222745319017</v>
      </c>
      <c r="R188" s="64">
        <f t="shared" si="84"/>
        <v>69883.000000000015</v>
      </c>
      <c r="S188" s="64">
        <f>R188-E188</f>
        <v>0</v>
      </c>
    </row>
    <row r="189" spans="1:19" x14ac:dyDescent="0.25">
      <c r="A189" s="88"/>
      <c r="B189" s="91"/>
    </row>
    <row r="190" spans="1:19" x14ac:dyDescent="0.25">
      <c r="A190" s="88"/>
      <c r="B190" s="91" t="s">
        <v>23</v>
      </c>
      <c r="C190" s="4"/>
    </row>
    <row r="191" spans="1:19" x14ac:dyDescent="0.25">
      <c r="A191" s="88"/>
      <c r="B191" s="89"/>
      <c r="C191" s="2" t="s">
        <v>7981</v>
      </c>
      <c r="E191" s="306">
        <f>+'COSS Step 1'!F169</f>
        <v>0</v>
      </c>
      <c r="F191" s="36" t="s">
        <v>7000</v>
      </c>
      <c r="G191" t="str">
        <f>INDEX('Allocator Summary'!$B$8:$B$28,MATCH($F191,'Allocator Summary'!$A$8:$A$28))</f>
        <v>Source of Supply</v>
      </c>
      <c r="H191" s="64">
        <f>INDEX('Allocator Summary'!C$8:C$28,MATCH($F191,'Allocator Summary'!$A$8:$A$28))*$E191</f>
        <v>0</v>
      </c>
      <c r="I191" s="64">
        <f>INDEX('Allocator Summary'!D$8:D$28,MATCH($F191,'Allocator Summary'!$A$8:$A$28))*$E191</f>
        <v>0</v>
      </c>
      <c r="J191" s="64">
        <f>INDEX('Allocator Summary'!E$8:E$28,MATCH($F191,'Allocator Summary'!$A$8:$A$28))*$E191</f>
        <v>0</v>
      </c>
      <c r="K191" s="64">
        <f>INDEX('Allocator Summary'!F$8:F$28,MATCH($F191,'Allocator Summary'!$A$8:$A$28))*$E191</f>
        <v>0</v>
      </c>
      <c r="L191" s="64">
        <f>INDEX('Allocator Summary'!G$8:G$28,MATCH($F191,'Allocator Summary'!$A$8:$A$28))*$E191</f>
        <v>0</v>
      </c>
      <c r="M191" s="64">
        <f>INDEX('Allocator Summary'!H$8:H$28,MATCH($F191,'Allocator Summary'!$A$8:$A$28))*$E191</f>
        <v>0</v>
      </c>
      <c r="N191" s="64">
        <f>INDEX('Allocator Summary'!I$8:I$28,MATCH($F191,'Allocator Summary'!$A$8:$A$28))*$E191</f>
        <v>0</v>
      </c>
      <c r="O191" s="64">
        <f>INDEX('Allocator Summary'!J$8:J$26,MATCH($F191,'Allocator Summary'!$A$8:$A$28))*$E191</f>
        <v>0</v>
      </c>
      <c r="P191" s="64">
        <f>INDEX('Allocator Summary'!K$8:K$26,MATCH($F191,'Allocator Summary'!$A$8:$A$28))*$E191</f>
        <v>0</v>
      </c>
      <c r="Q191" s="64">
        <f>INDEX('Allocator Summary'!L$8:L$28,MATCH($F191,'Allocator Summary'!$A$8:$A$28))*$E191</f>
        <v>0</v>
      </c>
      <c r="R191" s="64">
        <f t="shared" ref="R191:R195" si="85">SUM(H191:Q191)</f>
        <v>0</v>
      </c>
      <c r="S191" s="64">
        <f>R191-E191</f>
        <v>0</v>
      </c>
    </row>
    <row r="192" spans="1:19" x14ac:dyDescent="0.25">
      <c r="A192" s="90"/>
      <c r="B192" s="89"/>
      <c r="C192" s="2" t="s">
        <v>7983</v>
      </c>
      <c r="E192" s="306">
        <f>+'COSS Step 1'!F170</f>
        <v>23024</v>
      </c>
      <c r="F192" s="36" t="s">
        <v>7000</v>
      </c>
      <c r="G192" t="str">
        <f>INDEX('Allocator Summary'!$B$8:$B$28,MATCH($F192,'Allocator Summary'!$A$8:$A$28))</f>
        <v>Source of Supply</v>
      </c>
      <c r="H192" s="64">
        <f>INDEX('Allocator Summary'!C$8:C$28,MATCH($F192,'Allocator Summary'!$A$8:$A$28))*$E192</f>
        <v>23024</v>
      </c>
      <c r="I192" s="64">
        <f>INDEX('Allocator Summary'!D$8:D$28,MATCH($F192,'Allocator Summary'!$A$8:$A$28))*$E192</f>
        <v>0</v>
      </c>
      <c r="J192" s="64">
        <f>INDEX('Allocator Summary'!E$8:E$28,MATCH($F192,'Allocator Summary'!$A$8:$A$28))*$E192</f>
        <v>0</v>
      </c>
      <c r="K192" s="64">
        <f>INDEX('Allocator Summary'!F$8:F$28,MATCH($F192,'Allocator Summary'!$A$8:$A$28))*$E192</f>
        <v>0</v>
      </c>
      <c r="L192" s="64">
        <f>INDEX('Allocator Summary'!G$8:G$28,MATCH($F192,'Allocator Summary'!$A$8:$A$28))*$E192</f>
        <v>0</v>
      </c>
      <c r="M192" s="64">
        <f>INDEX('Allocator Summary'!H$8:H$28,MATCH($F192,'Allocator Summary'!$A$8:$A$28))*$E192</f>
        <v>0</v>
      </c>
      <c r="N192" s="64">
        <f>INDEX('Allocator Summary'!I$8:I$28,MATCH($F192,'Allocator Summary'!$A$8:$A$28))*$E192</f>
        <v>0</v>
      </c>
      <c r="O192" s="64">
        <f>INDEX('Allocator Summary'!J$8:J$26,MATCH($F192,'Allocator Summary'!$A$8:$A$28))*$E192</f>
        <v>0</v>
      </c>
      <c r="P192" s="64">
        <f>INDEX('Allocator Summary'!K$8:K$26,MATCH($F192,'Allocator Summary'!$A$8:$A$28))*$E192</f>
        <v>0</v>
      </c>
      <c r="Q192" s="64">
        <f>INDEX('Allocator Summary'!L$8:L$28,MATCH($F192,'Allocator Summary'!$A$8:$A$28))*$E192</f>
        <v>0</v>
      </c>
      <c r="R192" s="64">
        <f t="shared" si="85"/>
        <v>23024</v>
      </c>
      <c r="S192" s="64">
        <f>R192-E192</f>
        <v>0</v>
      </c>
    </row>
    <row r="193" spans="1:19" x14ac:dyDescent="0.25">
      <c r="A193" s="90"/>
      <c r="B193" s="89"/>
      <c r="C193" s="2" t="s">
        <v>7985</v>
      </c>
      <c r="E193" s="306">
        <f>+'COSS Step 1'!F171</f>
        <v>2199</v>
      </c>
      <c r="F193" s="36" t="s">
        <v>7000</v>
      </c>
      <c r="G193" t="str">
        <f>INDEX('Allocator Summary'!$B$8:$B$28,MATCH($F193,'Allocator Summary'!$A$8:$A$28))</f>
        <v>Source of Supply</v>
      </c>
      <c r="H193" s="64">
        <f>INDEX('Allocator Summary'!C$8:C$28,MATCH($F193,'Allocator Summary'!$A$8:$A$28))*$E193</f>
        <v>2199</v>
      </c>
      <c r="I193" s="64">
        <f>INDEX('Allocator Summary'!D$8:D$28,MATCH($F193,'Allocator Summary'!$A$8:$A$28))*$E193</f>
        <v>0</v>
      </c>
      <c r="J193" s="64">
        <f>INDEX('Allocator Summary'!E$8:E$28,MATCH($F193,'Allocator Summary'!$A$8:$A$28))*$E193</f>
        <v>0</v>
      </c>
      <c r="K193" s="64">
        <f>INDEX('Allocator Summary'!F$8:F$28,MATCH($F193,'Allocator Summary'!$A$8:$A$28))*$E193</f>
        <v>0</v>
      </c>
      <c r="L193" s="64">
        <f>INDEX('Allocator Summary'!G$8:G$28,MATCH($F193,'Allocator Summary'!$A$8:$A$28))*$E193</f>
        <v>0</v>
      </c>
      <c r="M193" s="64">
        <f>INDEX('Allocator Summary'!H$8:H$28,MATCH($F193,'Allocator Summary'!$A$8:$A$28))*$E193</f>
        <v>0</v>
      </c>
      <c r="N193" s="64">
        <f>INDEX('Allocator Summary'!I$8:I$28,MATCH($F193,'Allocator Summary'!$A$8:$A$28))*$E193</f>
        <v>0</v>
      </c>
      <c r="O193" s="64">
        <f>INDEX('Allocator Summary'!J$8:J$26,MATCH($F193,'Allocator Summary'!$A$8:$A$28))*$E193</f>
        <v>0</v>
      </c>
      <c r="P193" s="64">
        <f>INDEX('Allocator Summary'!K$8:K$26,MATCH($F193,'Allocator Summary'!$A$8:$A$28))*$E193</f>
        <v>0</v>
      </c>
      <c r="Q193" s="64">
        <f>INDEX('Allocator Summary'!L$8:L$28,MATCH($F193,'Allocator Summary'!$A$8:$A$28))*$E193</f>
        <v>0</v>
      </c>
      <c r="R193" s="64">
        <f t="shared" si="85"/>
        <v>2199</v>
      </c>
      <c r="S193" s="64">
        <f>R193-E193</f>
        <v>0</v>
      </c>
    </row>
    <row r="194" spans="1:19" x14ac:dyDescent="0.25">
      <c r="A194" s="90"/>
      <c r="B194" s="89"/>
      <c r="C194" s="2" t="s">
        <v>7987</v>
      </c>
      <c r="E194" s="306">
        <f>+'COSS Step 1'!F172</f>
        <v>61112</v>
      </c>
      <c r="F194" s="36" t="s">
        <v>7000</v>
      </c>
      <c r="G194" t="str">
        <f>INDEX('Allocator Summary'!$B$8:$B$28,MATCH($F194,'Allocator Summary'!$A$8:$A$28))</f>
        <v>Source of Supply</v>
      </c>
      <c r="H194" s="64">
        <f>INDEX('Allocator Summary'!C$8:C$28,MATCH($F194,'Allocator Summary'!$A$8:$A$28))*$E194</f>
        <v>61112</v>
      </c>
      <c r="I194" s="64">
        <f>INDEX('Allocator Summary'!D$8:D$28,MATCH($F194,'Allocator Summary'!$A$8:$A$28))*$E194</f>
        <v>0</v>
      </c>
      <c r="J194" s="64">
        <f>INDEX('Allocator Summary'!E$8:E$28,MATCH($F194,'Allocator Summary'!$A$8:$A$28))*$E194</f>
        <v>0</v>
      </c>
      <c r="K194" s="64">
        <f>INDEX('Allocator Summary'!F$8:F$28,MATCH($F194,'Allocator Summary'!$A$8:$A$28))*$E194</f>
        <v>0</v>
      </c>
      <c r="L194" s="64">
        <f>INDEX('Allocator Summary'!G$8:G$28,MATCH($F194,'Allocator Summary'!$A$8:$A$28))*$E194</f>
        <v>0</v>
      </c>
      <c r="M194" s="64">
        <f>INDEX('Allocator Summary'!H$8:H$28,MATCH($F194,'Allocator Summary'!$A$8:$A$28))*$E194</f>
        <v>0</v>
      </c>
      <c r="N194" s="64">
        <f>INDEX('Allocator Summary'!I$8:I$28,MATCH($F194,'Allocator Summary'!$A$8:$A$28))*$E194</f>
        <v>0</v>
      </c>
      <c r="O194" s="64">
        <f>INDEX('Allocator Summary'!J$8:J$26,MATCH($F194,'Allocator Summary'!$A$8:$A$28))*$E194</f>
        <v>0</v>
      </c>
      <c r="P194" s="64">
        <f>INDEX('Allocator Summary'!K$8:K$26,MATCH($F194,'Allocator Summary'!$A$8:$A$28))*$E194</f>
        <v>0</v>
      </c>
      <c r="Q194" s="64">
        <f>INDEX('Allocator Summary'!L$8:L$28,MATCH($F194,'Allocator Summary'!$A$8:$A$28))*$E194</f>
        <v>0</v>
      </c>
      <c r="R194" s="64">
        <f t="shared" si="85"/>
        <v>61112</v>
      </c>
      <c r="S194" s="64">
        <f>R194-E194</f>
        <v>0</v>
      </c>
    </row>
    <row r="195" spans="1:19" x14ac:dyDescent="0.25">
      <c r="A195" s="90"/>
      <c r="B195" s="89"/>
      <c r="C195" s="2" t="s">
        <v>7989</v>
      </c>
      <c r="E195" s="306">
        <f>+'COSS Step 1'!F173</f>
        <v>1933</v>
      </c>
      <c r="F195" s="36" t="s">
        <v>7000</v>
      </c>
      <c r="G195" t="str">
        <f>INDEX('Allocator Summary'!$B$8:$B$28,MATCH($F195,'Allocator Summary'!$A$8:$A$28))</f>
        <v>Source of Supply</v>
      </c>
      <c r="H195" s="64">
        <f>INDEX('Allocator Summary'!C$8:C$28,MATCH($F195,'Allocator Summary'!$A$8:$A$28))*$E195</f>
        <v>1933</v>
      </c>
      <c r="I195" s="64">
        <f>INDEX('Allocator Summary'!D$8:D$28,MATCH($F195,'Allocator Summary'!$A$8:$A$28))*$E195</f>
        <v>0</v>
      </c>
      <c r="J195" s="64">
        <f>INDEX('Allocator Summary'!E$8:E$28,MATCH($F195,'Allocator Summary'!$A$8:$A$28))*$E195</f>
        <v>0</v>
      </c>
      <c r="K195" s="64">
        <f>INDEX('Allocator Summary'!F$8:F$28,MATCH($F195,'Allocator Summary'!$A$8:$A$28))*$E195</f>
        <v>0</v>
      </c>
      <c r="L195" s="64">
        <f>INDEX('Allocator Summary'!G$8:G$28,MATCH($F195,'Allocator Summary'!$A$8:$A$28))*$E195</f>
        <v>0</v>
      </c>
      <c r="M195" s="64">
        <f>INDEX('Allocator Summary'!H$8:H$28,MATCH($F195,'Allocator Summary'!$A$8:$A$28))*$E195</f>
        <v>0</v>
      </c>
      <c r="N195" s="64">
        <f>INDEX('Allocator Summary'!I$8:I$28,MATCH($F195,'Allocator Summary'!$A$8:$A$28))*$E195</f>
        <v>0</v>
      </c>
      <c r="O195" s="64">
        <f>INDEX('Allocator Summary'!J$8:J$26,MATCH($F195,'Allocator Summary'!$A$8:$A$28))*$E195</f>
        <v>0</v>
      </c>
      <c r="P195" s="64">
        <f>INDEX('Allocator Summary'!K$8:K$26,MATCH($F195,'Allocator Summary'!$A$8:$A$28))*$E195</f>
        <v>0</v>
      </c>
      <c r="Q195" s="64">
        <f>INDEX('Allocator Summary'!L$8:L$28,MATCH($F195,'Allocator Summary'!$A$8:$A$28))*$E195</f>
        <v>0</v>
      </c>
      <c r="R195" s="64">
        <f t="shared" si="85"/>
        <v>1933</v>
      </c>
      <c r="S195" s="64">
        <f>R195-E195</f>
        <v>0</v>
      </c>
    </row>
    <row r="196" spans="1:19" x14ac:dyDescent="0.25">
      <c r="A196" s="54"/>
      <c r="B196" s="92"/>
      <c r="C196" s="54"/>
    </row>
    <row r="197" spans="1:19" x14ac:dyDescent="0.25">
      <c r="A197" s="54"/>
      <c r="B197" s="91" t="s">
        <v>7019</v>
      </c>
      <c r="C197" s="4"/>
    </row>
    <row r="198" spans="1:19" x14ac:dyDescent="0.25">
      <c r="A198" s="88"/>
      <c r="B198" s="89"/>
      <c r="C198" s="15" t="s">
        <v>7991</v>
      </c>
      <c r="E198" s="306">
        <f>+'COSS Step 1'!F176</f>
        <v>0</v>
      </c>
      <c r="F198" s="36" t="s">
        <v>7003</v>
      </c>
      <c r="G198" t="str">
        <f>INDEX('Allocator Summary'!$B$8:$B$28,MATCH($F198,'Allocator Summary'!$A$8:$A$28))</f>
        <v>Pumping</v>
      </c>
      <c r="H198" s="64">
        <f>INDEX('Allocator Summary'!C$8:C$28,MATCH($F198,'Allocator Summary'!$A$8:$A$28))*$E198</f>
        <v>0</v>
      </c>
      <c r="I198" s="64">
        <f>INDEX('Allocator Summary'!D$8:D$28,MATCH($F198,'Allocator Summary'!$A$8:$A$28))*$E198</f>
        <v>0</v>
      </c>
      <c r="J198" s="64">
        <f>INDEX('Allocator Summary'!E$8:E$28,MATCH($F198,'Allocator Summary'!$A$8:$A$28))*$E198</f>
        <v>0</v>
      </c>
      <c r="K198" s="64">
        <f>INDEX('Allocator Summary'!F$8:F$28,MATCH($F198,'Allocator Summary'!$A$8:$A$28))*$E198</f>
        <v>0</v>
      </c>
      <c r="L198" s="64">
        <f>INDEX('Allocator Summary'!G$8:G$28,MATCH($F198,'Allocator Summary'!$A$8:$A$28))*$E198</f>
        <v>0</v>
      </c>
      <c r="M198" s="64">
        <f>INDEX('Allocator Summary'!H$8:H$28,MATCH($F198,'Allocator Summary'!$A$8:$A$28))*$E198</f>
        <v>0</v>
      </c>
      <c r="N198" s="64">
        <f>INDEX('Allocator Summary'!I$8:I$28,MATCH($F198,'Allocator Summary'!$A$8:$A$28))*$E198</f>
        <v>0</v>
      </c>
      <c r="O198" s="64">
        <f>INDEX('Allocator Summary'!J$8:J$26,MATCH($F198,'Allocator Summary'!$A$8:$A$28))*$E198</f>
        <v>0</v>
      </c>
      <c r="P198" s="64">
        <f>INDEX('Allocator Summary'!K$8:K$26,MATCH($F198,'Allocator Summary'!$A$8:$A$28))*$E198</f>
        <v>0</v>
      </c>
      <c r="Q198" s="64">
        <f>INDEX('Allocator Summary'!L$8:L$28,MATCH($F198,'Allocator Summary'!$A$8:$A$28))*$E198</f>
        <v>0</v>
      </c>
      <c r="R198" s="64">
        <f t="shared" ref="R198" si="86">SUM(H198:Q198)</f>
        <v>0</v>
      </c>
      <c r="S198" s="64">
        <f>R198-E198</f>
        <v>0</v>
      </c>
    </row>
    <row r="199" spans="1:19" x14ac:dyDescent="0.25">
      <c r="A199" s="90"/>
      <c r="B199" s="89"/>
      <c r="C199" s="2" t="s">
        <v>7993</v>
      </c>
      <c r="E199" s="306">
        <f>+'COSS Step 1'!F177</f>
        <v>122253</v>
      </c>
      <c r="F199" s="36" t="s">
        <v>7003</v>
      </c>
      <c r="G199" t="str">
        <f>INDEX('Allocator Summary'!$B$8:$B$28,MATCH($F199,'Allocator Summary'!$A$8:$A$28))</f>
        <v>Pumping</v>
      </c>
      <c r="H199" s="64">
        <f>INDEX('Allocator Summary'!C$8:C$28,MATCH($F199,'Allocator Summary'!$A$8:$A$28))*$E199</f>
        <v>0</v>
      </c>
      <c r="I199" s="64">
        <f>INDEX('Allocator Summary'!D$8:D$28,MATCH($F199,'Allocator Summary'!$A$8:$A$28))*$E199</f>
        <v>122253</v>
      </c>
      <c r="J199" s="64">
        <f>INDEX('Allocator Summary'!E$8:E$28,MATCH($F199,'Allocator Summary'!$A$8:$A$28))*$E199</f>
        <v>0</v>
      </c>
      <c r="K199" s="64">
        <f>INDEX('Allocator Summary'!F$8:F$28,MATCH($F199,'Allocator Summary'!$A$8:$A$28))*$E199</f>
        <v>0</v>
      </c>
      <c r="L199" s="64">
        <f>INDEX('Allocator Summary'!G$8:G$28,MATCH($F199,'Allocator Summary'!$A$8:$A$28))*$E199</f>
        <v>0</v>
      </c>
      <c r="M199" s="64">
        <f>INDEX('Allocator Summary'!H$8:H$28,MATCH($F199,'Allocator Summary'!$A$8:$A$28))*$E199</f>
        <v>0</v>
      </c>
      <c r="N199" s="64">
        <f>INDEX('Allocator Summary'!I$8:I$28,MATCH($F199,'Allocator Summary'!$A$8:$A$28))*$E199</f>
        <v>0</v>
      </c>
      <c r="O199" s="64">
        <f>INDEX('Allocator Summary'!J$8:J$26,MATCH($F199,'Allocator Summary'!$A$8:$A$28))*$E199</f>
        <v>0</v>
      </c>
      <c r="P199" s="64">
        <f>INDEX('Allocator Summary'!K$8:K$26,MATCH($F199,'Allocator Summary'!$A$8:$A$28))*$E199</f>
        <v>0</v>
      </c>
      <c r="Q199" s="64">
        <f>INDEX('Allocator Summary'!L$8:L$28,MATCH($F199,'Allocator Summary'!$A$8:$A$28))*$E199</f>
        <v>0</v>
      </c>
      <c r="R199" s="64">
        <f t="shared" ref="R199:R202" si="87">SUM(H199:Q199)</f>
        <v>122253</v>
      </c>
      <c r="S199" s="64">
        <f>R199-E199</f>
        <v>0</v>
      </c>
    </row>
    <row r="200" spans="1:19" x14ac:dyDescent="0.25">
      <c r="A200" s="88"/>
      <c r="B200" s="89"/>
      <c r="C200" s="2" t="s">
        <v>7995</v>
      </c>
      <c r="E200" s="306">
        <f>+'COSS Step 1'!F178</f>
        <v>23930</v>
      </c>
      <c r="F200" s="36" t="s">
        <v>7003</v>
      </c>
      <c r="G200" t="str">
        <f>INDEX('Allocator Summary'!$B$8:$B$28,MATCH($F200,'Allocator Summary'!$A$8:$A$28))</f>
        <v>Pumping</v>
      </c>
      <c r="H200" s="64">
        <f>INDEX('Allocator Summary'!C$8:C$28,MATCH($F200,'Allocator Summary'!$A$8:$A$28))*$E200</f>
        <v>0</v>
      </c>
      <c r="I200" s="64">
        <f>INDEX('Allocator Summary'!D$8:D$28,MATCH($F200,'Allocator Summary'!$A$8:$A$28))*$E200</f>
        <v>23930</v>
      </c>
      <c r="J200" s="64">
        <f>INDEX('Allocator Summary'!E$8:E$28,MATCH($F200,'Allocator Summary'!$A$8:$A$28))*$E200</f>
        <v>0</v>
      </c>
      <c r="K200" s="64">
        <f>INDEX('Allocator Summary'!F$8:F$28,MATCH($F200,'Allocator Summary'!$A$8:$A$28))*$E200</f>
        <v>0</v>
      </c>
      <c r="L200" s="64">
        <f>INDEX('Allocator Summary'!G$8:G$28,MATCH($F200,'Allocator Summary'!$A$8:$A$28))*$E200</f>
        <v>0</v>
      </c>
      <c r="M200" s="64">
        <f>INDEX('Allocator Summary'!H$8:H$28,MATCH($F200,'Allocator Summary'!$A$8:$A$28))*$E200</f>
        <v>0</v>
      </c>
      <c r="N200" s="64">
        <f>INDEX('Allocator Summary'!I$8:I$28,MATCH($F200,'Allocator Summary'!$A$8:$A$28))*$E200</f>
        <v>0</v>
      </c>
      <c r="O200" s="64">
        <f>INDEX('Allocator Summary'!J$8:J$26,MATCH($F200,'Allocator Summary'!$A$8:$A$28))*$E200</f>
        <v>0</v>
      </c>
      <c r="P200" s="64">
        <f>INDEX('Allocator Summary'!K$8:K$26,MATCH($F200,'Allocator Summary'!$A$8:$A$28))*$E200</f>
        <v>0</v>
      </c>
      <c r="Q200" s="64">
        <f>INDEX('Allocator Summary'!L$8:L$28,MATCH($F200,'Allocator Summary'!$A$8:$A$28))*$E200</f>
        <v>0</v>
      </c>
      <c r="R200" s="64">
        <f t="shared" si="87"/>
        <v>23930</v>
      </c>
      <c r="S200" s="64">
        <f>R200-E200</f>
        <v>0</v>
      </c>
    </row>
    <row r="201" spans="1:19" x14ac:dyDescent="0.25">
      <c r="A201" s="88"/>
      <c r="B201" s="89"/>
      <c r="C201" s="2" t="s">
        <v>7997</v>
      </c>
      <c r="E201" s="306">
        <f>+'COSS Step 1'!F179</f>
        <v>140151</v>
      </c>
      <c r="F201" s="36" t="s">
        <v>7003</v>
      </c>
      <c r="G201" t="str">
        <f>INDEX('Allocator Summary'!$B$8:$B$28,MATCH($F201,'Allocator Summary'!$A$8:$A$28))</f>
        <v>Pumping</v>
      </c>
      <c r="H201" s="64">
        <f>INDEX('Allocator Summary'!C$8:C$28,MATCH($F201,'Allocator Summary'!$A$8:$A$28))*$E201</f>
        <v>0</v>
      </c>
      <c r="I201" s="64">
        <f>INDEX('Allocator Summary'!D$8:D$28,MATCH($F201,'Allocator Summary'!$A$8:$A$28))*$E201</f>
        <v>140151</v>
      </c>
      <c r="J201" s="64">
        <f>INDEX('Allocator Summary'!E$8:E$28,MATCH($F201,'Allocator Summary'!$A$8:$A$28))*$E201</f>
        <v>0</v>
      </c>
      <c r="K201" s="64">
        <f>INDEX('Allocator Summary'!F$8:F$28,MATCH($F201,'Allocator Summary'!$A$8:$A$28))*$E201</f>
        <v>0</v>
      </c>
      <c r="L201" s="64">
        <f>INDEX('Allocator Summary'!G$8:G$28,MATCH($F201,'Allocator Summary'!$A$8:$A$28))*$E201</f>
        <v>0</v>
      </c>
      <c r="M201" s="64">
        <f>INDEX('Allocator Summary'!H$8:H$28,MATCH($F201,'Allocator Summary'!$A$8:$A$28))*$E201</f>
        <v>0</v>
      </c>
      <c r="N201" s="64">
        <f>INDEX('Allocator Summary'!I$8:I$28,MATCH($F201,'Allocator Summary'!$A$8:$A$28))*$E201</f>
        <v>0</v>
      </c>
      <c r="O201" s="64">
        <f>INDEX('Allocator Summary'!J$8:J$26,MATCH($F201,'Allocator Summary'!$A$8:$A$28))*$E201</f>
        <v>0</v>
      </c>
      <c r="P201" s="64">
        <f>INDEX('Allocator Summary'!K$8:K$26,MATCH($F201,'Allocator Summary'!$A$8:$A$28))*$E201</f>
        <v>0</v>
      </c>
      <c r="Q201" s="64">
        <f>INDEX('Allocator Summary'!L$8:L$28,MATCH($F201,'Allocator Summary'!$A$8:$A$28))*$E201</f>
        <v>0</v>
      </c>
      <c r="R201" s="64">
        <f t="shared" si="87"/>
        <v>140151</v>
      </c>
      <c r="S201" s="64">
        <f>R201-E201</f>
        <v>0</v>
      </c>
    </row>
    <row r="202" spans="1:19" x14ac:dyDescent="0.25">
      <c r="A202" s="90"/>
      <c r="B202" s="89"/>
      <c r="C202" s="2" t="s">
        <v>7999</v>
      </c>
      <c r="E202" s="306">
        <f>+'COSS Step 1'!F180</f>
        <v>2691</v>
      </c>
      <c r="F202" s="36" t="s">
        <v>7003</v>
      </c>
      <c r="G202" t="str">
        <f>INDEX('Allocator Summary'!$B$8:$B$28,MATCH($F202,'Allocator Summary'!$A$8:$A$28))</f>
        <v>Pumping</v>
      </c>
      <c r="H202" s="64">
        <f>INDEX('Allocator Summary'!C$8:C$28,MATCH($F202,'Allocator Summary'!$A$8:$A$28))*$E202</f>
        <v>0</v>
      </c>
      <c r="I202" s="64">
        <f>INDEX('Allocator Summary'!D$8:D$28,MATCH($F202,'Allocator Summary'!$A$8:$A$28))*$E202</f>
        <v>2691</v>
      </c>
      <c r="J202" s="64">
        <f>INDEX('Allocator Summary'!E$8:E$28,MATCH($F202,'Allocator Summary'!$A$8:$A$28))*$E202</f>
        <v>0</v>
      </c>
      <c r="K202" s="64">
        <f>INDEX('Allocator Summary'!F$8:F$28,MATCH($F202,'Allocator Summary'!$A$8:$A$28))*$E202</f>
        <v>0</v>
      </c>
      <c r="L202" s="64">
        <f>INDEX('Allocator Summary'!G$8:G$28,MATCH($F202,'Allocator Summary'!$A$8:$A$28))*$E202</f>
        <v>0</v>
      </c>
      <c r="M202" s="64">
        <f>INDEX('Allocator Summary'!H$8:H$28,MATCH($F202,'Allocator Summary'!$A$8:$A$28))*$E202</f>
        <v>0</v>
      </c>
      <c r="N202" s="64">
        <f>INDEX('Allocator Summary'!I$8:I$28,MATCH($F202,'Allocator Summary'!$A$8:$A$28))*$E202</f>
        <v>0</v>
      </c>
      <c r="O202" s="64">
        <f>INDEX('Allocator Summary'!J$8:J$26,MATCH($F202,'Allocator Summary'!$A$8:$A$28))*$E202</f>
        <v>0</v>
      </c>
      <c r="P202" s="64">
        <f>INDEX('Allocator Summary'!K$8:K$26,MATCH($F202,'Allocator Summary'!$A$8:$A$28))*$E202</f>
        <v>0</v>
      </c>
      <c r="Q202" s="64">
        <f>INDEX('Allocator Summary'!L$8:L$28,MATCH($F202,'Allocator Summary'!$A$8:$A$28))*$E202</f>
        <v>0</v>
      </c>
      <c r="R202" s="64">
        <f t="shared" si="87"/>
        <v>2691</v>
      </c>
      <c r="S202" s="64">
        <f>R202-E202</f>
        <v>0</v>
      </c>
    </row>
    <row r="203" spans="1:19" x14ac:dyDescent="0.25">
      <c r="A203" s="54"/>
      <c r="B203" s="92"/>
      <c r="C203" s="54"/>
    </row>
    <row r="204" spans="1:19" x14ac:dyDescent="0.25">
      <c r="A204" s="54"/>
      <c r="B204" s="91" t="s">
        <v>9</v>
      </c>
      <c r="C204" s="54"/>
    </row>
    <row r="205" spans="1:19" x14ac:dyDescent="0.25">
      <c r="A205" s="88"/>
      <c r="B205" s="89"/>
      <c r="C205" s="15" t="s">
        <v>8001</v>
      </c>
      <c r="E205" s="306">
        <f>+'COSS Step 1'!F183</f>
        <v>0</v>
      </c>
      <c r="F205" s="36" t="s">
        <v>2209</v>
      </c>
      <c r="G205" t="str">
        <f>INDEX('Allocator Summary'!$B$8:$B$28,MATCH($F205,'Allocator Summary'!$A$8:$A$28))</f>
        <v>Water Treatment</v>
      </c>
      <c r="H205" s="64">
        <f>INDEX('Allocator Summary'!C$8:C$28,MATCH($F205,'Allocator Summary'!$A$8:$A$28))*$E205</f>
        <v>0</v>
      </c>
      <c r="I205" s="64">
        <f>INDEX('Allocator Summary'!D$8:D$28,MATCH($F205,'Allocator Summary'!$A$8:$A$28))*$E205</f>
        <v>0</v>
      </c>
      <c r="J205" s="64">
        <f>INDEX('Allocator Summary'!E$8:E$28,MATCH($F205,'Allocator Summary'!$A$8:$A$28))*$E205</f>
        <v>0</v>
      </c>
      <c r="K205" s="64">
        <f>INDEX('Allocator Summary'!F$8:F$28,MATCH($F205,'Allocator Summary'!$A$8:$A$28))*$E205</f>
        <v>0</v>
      </c>
      <c r="L205" s="64">
        <f>INDEX('Allocator Summary'!G$8:G$28,MATCH($F205,'Allocator Summary'!$A$8:$A$28))*$E205</f>
        <v>0</v>
      </c>
      <c r="M205" s="64">
        <f>INDEX('Allocator Summary'!H$8:H$28,MATCH($F205,'Allocator Summary'!$A$8:$A$28))*$E205</f>
        <v>0</v>
      </c>
      <c r="N205" s="64">
        <f>INDEX('Allocator Summary'!I$8:I$28,MATCH($F205,'Allocator Summary'!$A$8:$A$28))*$E205</f>
        <v>0</v>
      </c>
      <c r="O205" s="64">
        <f>INDEX('Allocator Summary'!J$8:J$26,MATCH($F205,'Allocator Summary'!$A$8:$A$28))*$E205</f>
        <v>0</v>
      </c>
      <c r="P205" s="64">
        <f>INDEX('Allocator Summary'!K$8:K$26,MATCH($F205,'Allocator Summary'!$A$8:$A$28))*$E205</f>
        <v>0</v>
      </c>
      <c r="Q205" s="64">
        <f>INDEX('Allocator Summary'!L$8:L$28,MATCH($F205,'Allocator Summary'!$A$8:$A$28))*$E205</f>
        <v>0</v>
      </c>
      <c r="R205" s="64">
        <f t="shared" ref="R205" si="88">SUM(H205:Q205)</f>
        <v>0</v>
      </c>
      <c r="S205" s="64">
        <f t="shared" ref="S205:S210" si="89">R205-E205</f>
        <v>0</v>
      </c>
    </row>
    <row r="206" spans="1:19" x14ac:dyDescent="0.25">
      <c r="A206" s="88"/>
      <c r="B206" s="89"/>
      <c r="C206" s="2" t="s">
        <v>8003</v>
      </c>
      <c r="E206" s="306">
        <f>+'COSS Step 1'!F184</f>
        <v>378334</v>
      </c>
      <c r="F206" s="36" t="s">
        <v>2209</v>
      </c>
      <c r="G206" t="str">
        <f>INDEX('Allocator Summary'!$B$8:$B$28,MATCH($F206,'Allocator Summary'!$A$8:$A$28))</f>
        <v>Water Treatment</v>
      </c>
      <c r="H206" s="64">
        <f>INDEX('Allocator Summary'!C$8:C$28,MATCH($F206,'Allocator Summary'!$A$8:$A$28))*$E206</f>
        <v>0</v>
      </c>
      <c r="I206" s="64">
        <f>INDEX('Allocator Summary'!D$8:D$28,MATCH($F206,'Allocator Summary'!$A$8:$A$28))*$E206</f>
        <v>0</v>
      </c>
      <c r="J206" s="64">
        <f>INDEX('Allocator Summary'!E$8:E$28,MATCH($F206,'Allocator Summary'!$A$8:$A$28))*$E206</f>
        <v>378334</v>
      </c>
      <c r="K206" s="64">
        <f>INDEX('Allocator Summary'!F$8:F$28,MATCH($F206,'Allocator Summary'!$A$8:$A$28))*$E206</f>
        <v>0</v>
      </c>
      <c r="L206" s="64">
        <f>INDEX('Allocator Summary'!G$8:G$28,MATCH($F206,'Allocator Summary'!$A$8:$A$28))*$E206</f>
        <v>0</v>
      </c>
      <c r="M206" s="64">
        <f>INDEX('Allocator Summary'!H$8:H$28,MATCH($F206,'Allocator Summary'!$A$8:$A$28))*$E206</f>
        <v>0</v>
      </c>
      <c r="N206" s="64">
        <f>INDEX('Allocator Summary'!I$8:I$28,MATCH($F206,'Allocator Summary'!$A$8:$A$28))*$E206</f>
        <v>0</v>
      </c>
      <c r="O206" s="64">
        <f>INDEX('Allocator Summary'!J$8:J$26,MATCH($F206,'Allocator Summary'!$A$8:$A$28))*$E206</f>
        <v>0</v>
      </c>
      <c r="P206" s="64">
        <f>INDEX('Allocator Summary'!K$8:K$26,MATCH($F206,'Allocator Summary'!$A$8:$A$28))*$E206</f>
        <v>0</v>
      </c>
      <c r="Q206" s="64">
        <f>INDEX('Allocator Summary'!L$8:L$28,MATCH($F206,'Allocator Summary'!$A$8:$A$28))*$E206</f>
        <v>0</v>
      </c>
      <c r="R206" s="64">
        <f t="shared" ref="R206:R210" si="90">SUM(H206:Q206)</f>
        <v>378334</v>
      </c>
      <c r="S206" s="64">
        <f t="shared" si="89"/>
        <v>0</v>
      </c>
    </row>
    <row r="207" spans="1:19" x14ac:dyDescent="0.25">
      <c r="A207" s="88"/>
      <c r="B207" s="89"/>
      <c r="C207" s="2" t="s">
        <v>8005</v>
      </c>
      <c r="E207" s="306">
        <f>+'COSS Step 1'!F185</f>
        <v>0</v>
      </c>
      <c r="F207" s="36" t="s">
        <v>2209</v>
      </c>
      <c r="G207" t="str">
        <f>INDEX('Allocator Summary'!$B$8:$B$28,MATCH($F207,'Allocator Summary'!$A$8:$A$28))</f>
        <v>Water Treatment</v>
      </c>
      <c r="H207" s="64">
        <f>INDEX('Allocator Summary'!C$8:C$28,MATCH($F207,'Allocator Summary'!$A$8:$A$28))*$E207</f>
        <v>0</v>
      </c>
      <c r="I207" s="64">
        <f>INDEX('Allocator Summary'!D$8:D$28,MATCH($F207,'Allocator Summary'!$A$8:$A$28))*$E207</f>
        <v>0</v>
      </c>
      <c r="J207" s="64">
        <f>INDEX('Allocator Summary'!E$8:E$28,MATCH($F207,'Allocator Summary'!$A$8:$A$28))*$E207</f>
        <v>0</v>
      </c>
      <c r="K207" s="64">
        <f>INDEX('Allocator Summary'!F$8:F$28,MATCH($F207,'Allocator Summary'!$A$8:$A$28))*$E207</f>
        <v>0</v>
      </c>
      <c r="L207" s="64">
        <f>INDEX('Allocator Summary'!G$8:G$28,MATCH($F207,'Allocator Summary'!$A$8:$A$28))*$E207</f>
        <v>0</v>
      </c>
      <c r="M207" s="64">
        <f>INDEX('Allocator Summary'!H$8:H$28,MATCH($F207,'Allocator Summary'!$A$8:$A$28))*$E207</f>
        <v>0</v>
      </c>
      <c r="N207" s="64">
        <f>INDEX('Allocator Summary'!I$8:I$28,MATCH($F207,'Allocator Summary'!$A$8:$A$28))*$E207</f>
        <v>0</v>
      </c>
      <c r="O207" s="64">
        <f>INDEX('Allocator Summary'!J$8:J$26,MATCH($F207,'Allocator Summary'!$A$8:$A$28))*$E207</f>
        <v>0</v>
      </c>
      <c r="P207" s="64">
        <f>INDEX('Allocator Summary'!K$8:K$26,MATCH($F207,'Allocator Summary'!$A$8:$A$28))*$E207</f>
        <v>0</v>
      </c>
      <c r="Q207" s="64">
        <f>INDEX('Allocator Summary'!L$8:L$28,MATCH($F207,'Allocator Summary'!$A$8:$A$28))*$E207</f>
        <v>0</v>
      </c>
      <c r="R207" s="64">
        <f t="shared" ref="R207" si="91">SUM(H207:Q207)</f>
        <v>0</v>
      </c>
      <c r="S207" s="64">
        <f t="shared" si="89"/>
        <v>0</v>
      </c>
    </row>
    <row r="208" spans="1:19" x14ac:dyDescent="0.25">
      <c r="A208" s="88"/>
      <c r="B208" s="89"/>
      <c r="C208" s="2" t="s">
        <v>8007</v>
      </c>
      <c r="E208" s="306">
        <f>+'COSS Step 1'!F186</f>
        <v>321519</v>
      </c>
      <c r="F208" s="36" t="s">
        <v>2209</v>
      </c>
      <c r="G208" t="str">
        <f>INDEX('Allocator Summary'!$B$8:$B$28,MATCH($F208,'Allocator Summary'!$A$8:$A$28))</f>
        <v>Water Treatment</v>
      </c>
      <c r="H208" s="64">
        <f>INDEX('Allocator Summary'!C$8:C$28,MATCH($F208,'Allocator Summary'!$A$8:$A$28))*$E208</f>
        <v>0</v>
      </c>
      <c r="I208" s="64">
        <f>INDEX('Allocator Summary'!D$8:D$28,MATCH($F208,'Allocator Summary'!$A$8:$A$28))*$E208</f>
        <v>0</v>
      </c>
      <c r="J208" s="64">
        <f>INDEX('Allocator Summary'!E$8:E$28,MATCH($F208,'Allocator Summary'!$A$8:$A$28))*$E208</f>
        <v>321519</v>
      </c>
      <c r="K208" s="64">
        <f>INDEX('Allocator Summary'!F$8:F$28,MATCH($F208,'Allocator Summary'!$A$8:$A$28))*$E208</f>
        <v>0</v>
      </c>
      <c r="L208" s="64">
        <f>INDEX('Allocator Summary'!G$8:G$28,MATCH($F208,'Allocator Summary'!$A$8:$A$28))*$E208</f>
        <v>0</v>
      </c>
      <c r="M208" s="64">
        <f>INDEX('Allocator Summary'!H$8:H$28,MATCH($F208,'Allocator Summary'!$A$8:$A$28))*$E208</f>
        <v>0</v>
      </c>
      <c r="N208" s="64">
        <f>INDEX('Allocator Summary'!I$8:I$28,MATCH($F208,'Allocator Summary'!$A$8:$A$28))*$E208</f>
        <v>0</v>
      </c>
      <c r="O208" s="64">
        <f>INDEX('Allocator Summary'!J$8:J$26,MATCH($F208,'Allocator Summary'!$A$8:$A$28))*$E208</f>
        <v>0</v>
      </c>
      <c r="P208" s="64">
        <f>INDEX('Allocator Summary'!K$8:K$26,MATCH($F208,'Allocator Summary'!$A$8:$A$28))*$E208</f>
        <v>0</v>
      </c>
      <c r="Q208" s="64">
        <f>INDEX('Allocator Summary'!L$8:L$28,MATCH($F208,'Allocator Summary'!$A$8:$A$28))*$E208</f>
        <v>0</v>
      </c>
      <c r="R208" s="64">
        <f t="shared" si="90"/>
        <v>321519</v>
      </c>
      <c r="S208" s="64">
        <f t="shared" si="89"/>
        <v>0</v>
      </c>
    </row>
    <row r="209" spans="1:19" x14ac:dyDescent="0.25">
      <c r="A209" s="88"/>
      <c r="B209" s="89"/>
      <c r="C209" s="2" t="s">
        <v>8009</v>
      </c>
      <c r="E209" s="306">
        <f>+'COSS Step 1'!F187</f>
        <v>103075</v>
      </c>
      <c r="F209" s="36" t="s">
        <v>2209</v>
      </c>
      <c r="G209" t="str">
        <f>INDEX('Allocator Summary'!$B$8:$B$28,MATCH($F209,'Allocator Summary'!$A$8:$A$28))</f>
        <v>Water Treatment</v>
      </c>
      <c r="H209" s="64">
        <f>INDEX('Allocator Summary'!C$8:C$28,MATCH($F209,'Allocator Summary'!$A$8:$A$28))*$E209</f>
        <v>0</v>
      </c>
      <c r="I209" s="64">
        <f>INDEX('Allocator Summary'!D$8:D$28,MATCH($F209,'Allocator Summary'!$A$8:$A$28))*$E209</f>
        <v>0</v>
      </c>
      <c r="J209" s="64">
        <f>INDEX('Allocator Summary'!E$8:E$28,MATCH($F209,'Allocator Summary'!$A$8:$A$28))*$E209</f>
        <v>103075</v>
      </c>
      <c r="K209" s="64">
        <f>INDEX('Allocator Summary'!F$8:F$28,MATCH($F209,'Allocator Summary'!$A$8:$A$28))*$E209</f>
        <v>0</v>
      </c>
      <c r="L209" s="64">
        <f>INDEX('Allocator Summary'!G$8:G$28,MATCH($F209,'Allocator Summary'!$A$8:$A$28))*$E209</f>
        <v>0</v>
      </c>
      <c r="M209" s="64">
        <f>INDEX('Allocator Summary'!H$8:H$28,MATCH($F209,'Allocator Summary'!$A$8:$A$28))*$E209</f>
        <v>0</v>
      </c>
      <c r="N209" s="64">
        <f>INDEX('Allocator Summary'!I$8:I$28,MATCH($F209,'Allocator Summary'!$A$8:$A$28))*$E209</f>
        <v>0</v>
      </c>
      <c r="O209" s="64">
        <f>INDEX('Allocator Summary'!J$8:J$26,MATCH($F209,'Allocator Summary'!$A$8:$A$28))*$E209</f>
        <v>0</v>
      </c>
      <c r="P209" s="64">
        <f>INDEX('Allocator Summary'!K$8:K$26,MATCH($F209,'Allocator Summary'!$A$8:$A$28))*$E209</f>
        <v>0</v>
      </c>
      <c r="Q209" s="64">
        <f>INDEX('Allocator Summary'!L$8:L$28,MATCH($F209,'Allocator Summary'!$A$8:$A$28))*$E209</f>
        <v>0</v>
      </c>
      <c r="R209" s="64">
        <f t="shared" si="90"/>
        <v>103075</v>
      </c>
      <c r="S209" s="64">
        <f t="shared" si="89"/>
        <v>0</v>
      </c>
    </row>
    <row r="210" spans="1:19" x14ac:dyDescent="0.25">
      <c r="A210" s="88"/>
      <c r="B210" s="89"/>
      <c r="C210" s="2" t="s">
        <v>8011</v>
      </c>
      <c r="E210" s="306">
        <f>+'COSS Step 1'!F188</f>
        <v>864</v>
      </c>
      <c r="F210" s="36" t="s">
        <v>2209</v>
      </c>
      <c r="G210" t="str">
        <f>INDEX('Allocator Summary'!$B$8:$B$28,MATCH($F210,'Allocator Summary'!$A$8:$A$28))</f>
        <v>Water Treatment</v>
      </c>
      <c r="H210" s="64">
        <f>INDEX('Allocator Summary'!C$8:C$28,MATCH($F210,'Allocator Summary'!$A$8:$A$28))*$E210</f>
        <v>0</v>
      </c>
      <c r="I210" s="64">
        <f>INDEX('Allocator Summary'!D$8:D$28,MATCH($F210,'Allocator Summary'!$A$8:$A$28))*$E210</f>
        <v>0</v>
      </c>
      <c r="J210" s="64">
        <f>INDEX('Allocator Summary'!E$8:E$28,MATCH($F210,'Allocator Summary'!$A$8:$A$28))*$E210</f>
        <v>864</v>
      </c>
      <c r="K210" s="64">
        <f>INDEX('Allocator Summary'!F$8:F$28,MATCH($F210,'Allocator Summary'!$A$8:$A$28))*$E210</f>
        <v>0</v>
      </c>
      <c r="L210" s="64">
        <f>INDEX('Allocator Summary'!G$8:G$28,MATCH($F210,'Allocator Summary'!$A$8:$A$28))*$E210</f>
        <v>0</v>
      </c>
      <c r="M210" s="64">
        <f>INDEX('Allocator Summary'!H$8:H$28,MATCH($F210,'Allocator Summary'!$A$8:$A$28))*$E210</f>
        <v>0</v>
      </c>
      <c r="N210" s="64">
        <f>INDEX('Allocator Summary'!I$8:I$28,MATCH($F210,'Allocator Summary'!$A$8:$A$28))*$E210</f>
        <v>0</v>
      </c>
      <c r="O210" s="64">
        <f>INDEX('Allocator Summary'!J$8:J$26,MATCH($F210,'Allocator Summary'!$A$8:$A$28))*$E210</f>
        <v>0</v>
      </c>
      <c r="P210" s="64">
        <f>INDEX('Allocator Summary'!K$8:K$26,MATCH($F210,'Allocator Summary'!$A$8:$A$28))*$E210</f>
        <v>0</v>
      </c>
      <c r="Q210" s="64">
        <f>INDEX('Allocator Summary'!L$8:L$28,MATCH($F210,'Allocator Summary'!$A$8:$A$28))*$E210</f>
        <v>0</v>
      </c>
      <c r="R210" s="64">
        <f t="shared" si="90"/>
        <v>864</v>
      </c>
      <c r="S210" s="64">
        <f t="shared" si="89"/>
        <v>0</v>
      </c>
    </row>
    <row r="211" spans="1:19" x14ac:dyDescent="0.25">
      <c r="A211" s="54"/>
      <c r="B211" s="92"/>
      <c r="C211" s="54"/>
    </row>
    <row r="212" spans="1:19" x14ac:dyDescent="0.25">
      <c r="A212" s="54"/>
      <c r="B212" s="91" t="s">
        <v>8152</v>
      </c>
      <c r="C212" s="54"/>
    </row>
    <row r="213" spans="1:19" x14ac:dyDescent="0.25">
      <c r="A213" s="88"/>
      <c r="B213" s="89"/>
      <c r="C213" s="15" t="s">
        <v>8013</v>
      </c>
      <c r="E213" s="306">
        <f>+'COSS Step 1'!F191</f>
        <v>0</v>
      </c>
      <c r="F213" s="36" t="s">
        <v>2211</v>
      </c>
      <c r="G213" t="str">
        <f>INDEX('Allocator Summary'!$B$8:$B$28,MATCH($F213,'Allocator Summary'!$A$8:$A$28))</f>
        <v>Mains</v>
      </c>
      <c r="H213" s="64">
        <f>INDEX('Allocator Summary'!C$8:C$28,MATCH($F213,'Allocator Summary'!$A$8:$A$28))*$E213</f>
        <v>0</v>
      </c>
      <c r="I213" s="64">
        <f>INDEX('Allocator Summary'!D$8:D$28,MATCH($F213,'Allocator Summary'!$A$8:$A$28))*$E213</f>
        <v>0</v>
      </c>
      <c r="J213" s="64">
        <f>INDEX('Allocator Summary'!E$8:E$28,MATCH($F213,'Allocator Summary'!$A$8:$A$28))*$E213</f>
        <v>0</v>
      </c>
      <c r="K213" s="64">
        <f>INDEX('Allocator Summary'!F$8:F$28,MATCH($F213,'Allocator Summary'!$A$8:$A$28))*$E213</f>
        <v>0</v>
      </c>
      <c r="L213" s="64">
        <f>INDEX('Allocator Summary'!G$8:G$28,MATCH($F213,'Allocator Summary'!$A$8:$A$28))*$E213</f>
        <v>0</v>
      </c>
      <c r="M213" s="64">
        <f>INDEX('Allocator Summary'!H$8:H$28,MATCH($F213,'Allocator Summary'!$A$8:$A$28))*$E213</f>
        <v>0</v>
      </c>
      <c r="N213" s="64">
        <f>INDEX('Allocator Summary'!I$8:I$28,MATCH($F213,'Allocator Summary'!$A$8:$A$28))*$E213</f>
        <v>0</v>
      </c>
      <c r="O213" s="64">
        <f>INDEX('Allocator Summary'!J$8:J$26,MATCH($F213,'Allocator Summary'!$A$8:$A$28))*$E213</f>
        <v>0</v>
      </c>
      <c r="P213" s="64">
        <f>INDEX('Allocator Summary'!K$8:K$26,MATCH($F213,'Allocator Summary'!$A$8:$A$28))*$E213</f>
        <v>0</v>
      </c>
      <c r="Q213" s="64">
        <f>INDEX('Allocator Summary'!L$8:L$28,MATCH($F213,'Allocator Summary'!$A$8:$A$28))*$E213</f>
        <v>0</v>
      </c>
      <c r="R213" s="64">
        <f t="shared" ref="R213" si="92">SUM(H213:Q213)</f>
        <v>0</v>
      </c>
      <c r="S213" s="64">
        <f t="shared" ref="S213:S219" si="93">R213-E213</f>
        <v>0</v>
      </c>
    </row>
    <row r="214" spans="1:19" x14ac:dyDescent="0.25">
      <c r="A214" s="88"/>
      <c r="B214" s="89"/>
      <c r="C214" s="2" t="s">
        <v>8015</v>
      </c>
      <c r="E214" s="306">
        <f>+'COSS Step 1'!F192</f>
        <v>7319</v>
      </c>
      <c r="F214" s="36" t="s">
        <v>2211</v>
      </c>
      <c r="G214" t="str">
        <f>INDEX('Allocator Summary'!$B$8:$B$28,MATCH($F214,'Allocator Summary'!$A$8:$A$28))</f>
        <v>Mains</v>
      </c>
      <c r="H214" s="64">
        <f>INDEX('Allocator Summary'!C$8:C$28,MATCH($F214,'Allocator Summary'!$A$8:$A$28))*$E214</f>
        <v>0</v>
      </c>
      <c r="I214" s="64">
        <f>INDEX('Allocator Summary'!D$8:D$28,MATCH($F214,'Allocator Summary'!$A$8:$A$28))*$E214</f>
        <v>0</v>
      </c>
      <c r="J214" s="64">
        <f>INDEX('Allocator Summary'!E$8:E$28,MATCH($F214,'Allocator Summary'!$A$8:$A$28))*$E214</f>
        <v>0</v>
      </c>
      <c r="K214" s="64">
        <f>INDEX('Allocator Summary'!F$8:F$28,MATCH($F214,'Allocator Summary'!$A$8:$A$28))*$E214</f>
        <v>1812.8002714208938</v>
      </c>
      <c r="L214" s="64">
        <f>INDEX('Allocator Summary'!G$8:G$28,MATCH($F214,'Allocator Summary'!$A$8:$A$28))*$E214</f>
        <v>5506.1997285791067</v>
      </c>
      <c r="M214" s="64">
        <f>INDEX('Allocator Summary'!H$8:H$28,MATCH($F214,'Allocator Summary'!$A$8:$A$28))*$E214</f>
        <v>0</v>
      </c>
      <c r="N214" s="64">
        <f>INDEX('Allocator Summary'!I$8:I$28,MATCH($F214,'Allocator Summary'!$A$8:$A$28))*$E214</f>
        <v>0</v>
      </c>
      <c r="O214" s="64">
        <f>INDEX('Allocator Summary'!J$8:J$26,MATCH($F214,'Allocator Summary'!$A$8:$A$28))*$E214</f>
        <v>0</v>
      </c>
      <c r="P214" s="64">
        <f>INDEX('Allocator Summary'!K$8:K$26,MATCH($F214,'Allocator Summary'!$A$8:$A$28))*$E214</f>
        <v>0</v>
      </c>
      <c r="Q214" s="64">
        <f>INDEX('Allocator Summary'!L$8:L$28,MATCH($F214,'Allocator Summary'!$A$8:$A$28))*$E214</f>
        <v>0</v>
      </c>
      <c r="R214" s="64">
        <f t="shared" ref="R214" si="94">SUM(H214:Q214)</f>
        <v>7319</v>
      </c>
      <c r="S214" s="64">
        <f t="shared" si="93"/>
        <v>0</v>
      </c>
    </row>
    <row r="215" spans="1:19" x14ac:dyDescent="0.25">
      <c r="A215" s="88"/>
      <c r="B215" s="89"/>
      <c r="C215" s="2" t="s">
        <v>8025</v>
      </c>
      <c r="E215" s="306">
        <f>+'COSS Step 1'!F193</f>
        <v>41038</v>
      </c>
      <c r="F215" s="36" t="s">
        <v>7020</v>
      </c>
      <c r="G215" t="str">
        <f>INDEX('Allocator Summary'!$B$8:$B$28,MATCH($F215,'Allocator Summary'!$A$8:$A$28))</f>
        <v>Distribution</v>
      </c>
      <c r="H215" s="64">
        <f>INDEX('Allocator Summary'!C$8:C$28,MATCH($F215,'Allocator Summary'!$A$8:$A$28))*$E215</f>
        <v>0</v>
      </c>
      <c r="I215" s="64">
        <f>INDEX('Allocator Summary'!D$8:D$28,MATCH($F215,'Allocator Summary'!$A$8:$A$28))*$E215</f>
        <v>0</v>
      </c>
      <c r="J215" s="64">
        <f>INDEX('Allocator Summary'!E$8:E$28,MATCH($F215,'Allocator Summary'!$A$8:$A$28))*$E215</f>
        <v>0</v>
      </c>
      <c r="K215" s="64">
        <f>INDEX('Allocator Summary'!F$8:F$28,MATCH($F215,'Allocator Summary'!$A$8:$A$28))*$E215</f>
        <v>0</v>
      </c>
      <c r="L215" s="64">
        <f>INDEX('Allocator Summary'!G$8:G$28,MATCH($F215,'Allocator Summary'!$A$8:$A$28))*$E215</f>
        <v>41038</v>
      </c>
      <c r="M215" s="64">
        <f>INDEX('Allocator Summary'!H$8:H$28,MATCH($F215,'Allocator Summary'!$A$8:$A$28))*$E215</f>
        <v>0</v>
      </c>
      <c r="N215" s="64">
        <f>INDEX('Allocator Summary'!I$8:I$28,MATCH($F215,'Allocator Summary'!$A$8:$A$28))*$E215</f>
        <v>0</v>
      </c>
      <c r="O215" s="64">
        <f>INDEX('Allocator Summary'!J$8:J$26,MATCH($F215,'Allocator Summary'!$A$8:$A$28))*$E215</f>
        <v>0</v>
      </c>
      <c r="P215" s="64">
        <f>INDEX('Allocator Summary'!K$8:K$26,MATCH($F215,'Allocator Summary'!$A$8:$A$28))*$E215</f>
        <v>0</v>
      </c>
      <c r="Q215" s="64">
        <f>INDEX('Allocator Summary'!L$8:L$28,MATCH($F215,'Allocator Summary'!$A$8:$A$28))*$E215</f>
        <v>0</v>
      </c>
      <c r="R215" s="64">
        <f t="shared" ref="R215:R218" si="95">SUM(H215:Q215)</f>
        <v>41038</v>
      </c>
      <c r="S215" s="64">
        <f t="shared" si="93"/>
        <v>0</v>
      </c>
    </row>
    <row r="216" spans="1:19" x14ac:dyDescent="0.25">
      <c r="A216" s="88"/>
      <c r="B216" s="89"/>
      <c r="C216" s="2" t="s">
        <v>8027</v>
      </c>
      <c r="E216" s="306">
        <f>+'COSS Step 1'!F194</f>
        <v>1005574</v>
      </c>
      <c r="F216" s="36" t="s">
        <v>7020</v>
      </c>
      <c r="G216" t="str">
        <f>INDEX('Allocator Summary'!$B$8:$B$28,MATCH($F216,'Allocator Summary'!$A$8:$A$28))</f>
        <v>Distribution</v>
      </c>
      <c r="H216" s="64">
        <f>INDEX('Allocator Summary'!C$8:C$28,MATCH($F216,'Allocator Summary'!$A$8:$A$28))*$E216</f>
        <v>0</v>
      </c>
      <c r="I216" s="64">
        <f>INDEX('Allocator Summary'!D$8:D$28,MATCH($F216,'Allocator Summary'!$A$8:$A$28))*$E216</f>
        <v>0</v>
      </c>
      <c r="J216" s="64">
        <f>INDEX('Allocator Summary'!E$8:E$28,MATCH($F216,'Allocator Summary'!$A$8:$A$28))*$E216</f>
        <v>0</v>
      </c>
      <c r="K216" s="64">
        <f>INDEX('Allocator Summary'!F$8:F$28,MATCH($F216,'Allocator Summary'!$A$8:$A$28))*$E216</f>
        <v>0</v>
      </c>
      <c r="L216" s="64">
        <f>INDEX('Allocator Summary'!G$8:G$28,MATCH($F216,'Allocator Summary'!$A$8:$A$28))*$E216</f>
        <v>1005574</v>
      </c>
      <c r="M216" s="64">
        <f>INDEX('Allocator Summary'!H$8:H$28,MATCH($F216,'Allocator Summary'!$A$8:$A$28))*$E216</f>
        <v>0</v>
      </c>
      <c r="N216" s="64">
        <f>INDEX('Allocator Summary'!I$8:I$28,MATCH($F216,'Allocator Summary'!$A$8:$A$28))*$E216</f>
        <v>0</v>
      </c>
      <c r="O216" s="64">
        <f>INDEX('Allocator Summary'!J$8:J$26,MATCH($F216,'Allocator Summary'!$A$8:$A$28))*$E216</f>
        <v>0</v>
      </c>
      <c r="P216" s="64">
        <f>INDEX('Allocator Summary'!K$8:K$26,MATCH($F216,'Allocator Summary'!$A$8:$A$28))*$E216</f>
        <v>0</v>
      </c>
      <c r="Q216" s="64">
        <f>INDEX('Allocator Summary'!L$8:L$28,MATCH($F216,'Allocator Summary'!$A$8:$A$28))*$E216</f>
        <v>0</v>
      </c>
      <c r="R216" s="64">
        <f t="shared" si="95"/>
        <v>1005574</v>
      </c>
      <c r="S216" s="64">
        <f t="shared" si="93"/>
        <v>0</v>
      </c>
    </row>
    <row r="217" spans="1:19" x14ac:dyDescent="0.25">
      <c r="A217" s="88"/>
      <c r="B217" s="89"/>
      <c r="C217" s="2" t="s">
        <v>8029</v>
      </c>
      <c r="E217" s="306">
        <f>+'COSS Step 1'!F195</f>
        <v>624138</v>
      </c>
      <c r="F217" s="36" t="s">
        <v>2210</v>
      </c>
      <c r="G217" t="str">
        <f>INDEX('Allocator Summary'!$B$8:$B$28,MATCH($F217,'Allocator Summary'!$A$8:$A$28))</f>
        <v>Transmission</v>
      </c>
      <c r="H217" s="64">
        <f>INDEX('Allocator Summary'!C$8:C$28,MATCH($F217,'Allocator Summary'!$A$8:$A$28))*$E217</f>
        <v>0</v>
      </c>
      <c r="I217" s="64">
        <f>INDEX('Allocator Summary'!D$8:D$28,MATCH($F217,'Allocator Summary'!$A$8:$A$28))*$E217</f>
        <v>0</v>
      </c>
      <c r="J217" s="64">
        <f>INDEX('Allocator Summary'!E$8:E$28,MATCH($F217,'Allocator Summary'!$A$8:$A$28))*$E217</f>
        <v>0</v>
      </c>
      <c r="K217" s="64">
        <f>INDEX('Allocator Summary'!F$8:F$28,MATCH($F217,'Allocator Summary'!$A$8:$A$28))*$E217</f>
        <v>624138</v>
      </c>
      <c r="L217" s="64">
        <f>INDEX('Allocator Summary'!G$8:G$28,MATCH($F217,'Allocator Summary'!$A$8:$A$28))*$E217</f>
        <v>0</v>
      </c>
      <c r="M217" s="64">
        <f>INDEX('Allocator Summary'!H$8:H$28,MATCH($F217,'Allocator Summary'!$A$8:$A$28))*$E217</f>
        <v>0</v>
      </c>
      <c r="N217" s="64">
        <f>INDEX('Allocator Summary'!I$8:I$28,MATCH($F217,'Allocator Summary'!$A$8:$A$28))*$E217</f>
        <v>0</v>
      </c>
      <c r="O217" s="64">
        <f>INDEX('Allocator Summary'!J$8:J$26,MATCH($F217,'Allocator Summary'!$A$8:$A$28))*$E217</f>
        <v>0</v>
      </c>
      <c r="P217" s="64">
        <f>INDEX('Allocator Summary'!K$8:K$26,MATCH($F217,'Allocator Summary'!$A$8:$A$28))*$E217</f>
        <v>0</v>
      </c>
      <c r="Q217" s="64">
        <f>INDEX('Allocator Summary'!L$8:L$28,MATCH($F217,'Allocator Summary'!$A$8:$A$28))*$E217</f>
        <v>0</v>
      </c>
      <c r="R217" s="64">
        <f t="shared" si="95"/>
        <v>624138</v>
      </c>
      <c r="S217" s="64">
        <f t="shared" si="93"/>
        <v>0</v>
      </c>
    </row>
    <row r="218" spans="1:19" x14ac:dyDescent="0.25">
      <c r="A218" s="88"/>
      <c r="B218" s="89"/>
      <c r="C218" s="2" t="s">
        <v>8031</v>
      </c>
      <c r="E218" s="306">
        <f>+'COSS Step 1'!F196</f>
        <v>10088</v>
      </c>
      <c r="F218" s="36" t="s">
        <v>2210</v>
      </c>
      <c r="G218" t="str">
        <f>INDEX('Allocator Summary'!$B$8:$B$28,MATCH($F218,'Allocator Summary'!$A$8:$A$28))</f>
        <v>Transmission</v>
      </c>
      <c r="H218" s="64">
        <f>INDEX('Allocator Summary'!C$8:C$28,MATCH($F218,'Allocator Summary'!$A$8:$A$28))*$E218</f>
        <v>0</v>
      </c>
      <c r="I218" s="64">
        <f>INDEX('Allocator Summary'!D$8:D$28,MATCH($F218,'Allocator Summary'!$A$8:$A$28))*$E218</f>
        <v>0</v>
      </c>
      <c r="J218" s="64">
        <f>INDEX('Allocator Summary'!E$8:E$28,MATCH($F218,'Allocator Summary'!$A$8:$A$28))*$E218</f>
        <v>0</v>
      </c>
      <c r="K218" s="64">
        <f>INDEX('Allocator Summary'!F$8:F$28,MATCH($F218,'Allocator Summary'!$A$8:$A$28))*$E218</f>
        <v>10088</v>
      </c>
      <c r="L218" s="64">
        <f>INDEX('Allocator Summary'!G$8:G$28,MATCH($F218,'Allocator Summary'!$A$8:$A$28))*$E218</f>
        <v>0</v>
      </c>
      <c r="M218" s="64">
        <f>INDEX('Allocator Summary'!H$8:H$28,MATCH($F218,'Allocator Summary'!$A$8:$A$28))*$E218</f>
        <v>0</v>
      </c>
      <c r="N218" s="64">
        <f>INDEX('Allocator Summary'!I$8:I$28,MATCH($F218,'Allocator Summary'!$A$8:$A$28))*$E218</f>
        <v>0</v>
      </c>
      <c r="O218" s="64">
        <f>INDEX('Allocator Summary'!J$8:J$26,MATCH($F218,'Allocator Summary'!$A$8:$A$28))*$E218</f>
        <v>0</v>
      </c>
      <c r="P218" s="64">
        <f>INDEX('Allocator Summary'!K$8:K$26,MATCH($F218,'Allocator Summary'!$A$8:$A$28))*$E218</f>
        <v>0</v>
      </c>
      <c r="Q218" s="64">
        <f>INDEX('Allocator Summary'!L$8:L$28,MATCH($F218,'Allocator Summary'!$A$8:$A$28))*$E218</f>
        <v>0</v>
      </c>
      <c r="R218" s="64">
        <f t="shared" si="95"/>
        <v>10088</v>
      </c>
      <c r="S218" s="64">
        <f t="shared" si="93"/>
        <v>0</v>
      </c>
    </row>
    <row r="219" spans="1:19" x14ac:dyDescent="0.25">
      <c r="A219" s="88"/>
      <c r="B219" s="89"/>
      <c r="C219" s="2" t="s">
        <v>8047</v>
      </c>
      <c r="E219" s="306">
        <f>+'COSS Step 1'!F197</f>
        <v>7878</v>
      </c>
      <c r="F219" s="36" t="s">
        <v>2211</v>
      </c>
      <c r="G219" t="str">
        <f>INDEX('Allocator Summary'!$B$8:$B$28,MATCH($F219,'Allocator Summary'!$A$8:$A$28))</f>
        <v>Mains</v>
      </c>
      <c r="H219" s="64">
        <f>INDEX('Allocator Summary'!C$8:C$28,MATCH($F219,'Allocator Summary'!$A$8:$A$28))*$E219</f>
        <v>0</v>
      </c>
      <c r="I219" s="64">
        <f>INDEX('Allocator Summary'!D$8:D$28,MATCH($F219,'Allocator Summary'!$A$8:$A$28))*$E219</f>
        <v>0</v>
      </c>
      <c r="J219" s="64">
        <f>INDEX('Allocator Summary'!E$8:E$28,MATCH($F219,'Allocator Summary'!$A$8:$A$28))*$E219</f>
        <v>0</v>
      </c>
      <c r="K219" s="64">
        <f>INDEX('Allocator Summary'!F$8:F$28,MATCH($F219,'Allocator Summary'!$A$8:$A$28))*$E219</f>
        <v>1951.2557095578361</v>
      </c>
      <c r="L219" s="64">
        <f>INDEX('Allocator Summary'!G$8:G$28,MATCH($F219,'Allocator Summary'!$A$8:$A$28))*$E219</f>
        <v>5926.7442904421641</v>
      </c>
      <c r="M219" s="64">
        <f>INDEX('Allocator Summary'!H$8:H$28,MATCH($F219,'Allocator Summary'!$A$8:$A$28))*$E219</f>
        <v>0</v>
      </c>
      <c r="N219" s="64">
        <f>INDEX('Allocator Summary'!I$8:I$28,MATCH($F219,'Allocator Summary'!$A$8:$A$28))*$E219</f>
        <v>0</v>
      </c>
      <c r="O219" s="64">
        <f>INDEX('Allocator Summary'!J$8:J$26,MATCH($F219,'Allocator Summary'!$A$8:$A$28))*$E219</f>
        <v>0</v>
      </c>
      <c r="P219" s="64">
        <f>INDEX('Allocator Summary'!K$8:K$26,MATCH($F219,'Allocator Summary'!$A$8:$A$28))*$E219</f>
        <v>0</v>
      </c>
      <c r="Q219" s="64">
        <f>INDEX('Allocator Summary'!L$8:L$28,MATCH($F219,'Allocator Summary'!$A$8:$A$28))*$E219</f>
        <v>0</v>
      </c>
      <c r="R219" s="64">
        <f t="shared" ref="R219" si="96">SUM(H219:Q219)</f>
        <v>7878</v>
      </c>
      <c r="S219" s="64">
        <f t="shared" si="93"/>
        <v>0</v>
      </c>
    </row>
    <row r="220" spans="1:19" x14ac:dyDescent="0.25">
      <c r="A220" s="54"/>
      <c r="B220" s="92"/>
      <c r="C220" s="54"/>
    </row>
    <row r="221" spans="1:19" x14ac:dyDescent="0.25">
      <c r="A221" s="54"/>
      <c r="B221" s="91" t="s">
        <v>6959</v>
      </c>
      <c r="C221" s="54"/>
    </row>
    <row r="222" spans="1:19" x14ac:dyDescent="0.25">
      <c r="A222" s="88"/>
      <c r="B222" s="89"/>
      <c r="C222" s="2" t="s">
        <v>8017</v>
      </c>
      <c r="E222" s="306">
        <f>+'COSS Step 1'!F200</f>
        <v>112581</v>
      </c>
      <c r="F222" s="36" t="s">
        <v>7008</v>
      </c>
      <c r="G222" t="str">
        <f>INDEX('Allocator Summary'!$B$8:$B$28,MATCH($F222,'Allocator Summary'!$A$8:$A$28))</f>
        <v>Storage</v>
      </c>
      <c r="H222" s="64">
        <f>INDEX('Allocator Summary'!C$8:C$28,MATCH($F222,'Allocator Summary'!$A$8:$A$28))*$E222</f>
        <v>0</v>
      </c>
      <c r="I222" s="64">
        <f>INDEX('Allocator Summary'!D$8:D$28,MATCH($F222,'Allocator Summary'!$A$8:$A$28))*$E222</f>
        <v>0</v>
      </c>
      <c r="J222" s="64">
        <f>INDEX('Allocator Summary'!E$8:E$28,MATCH($F222,'Allocator Summary'!$A$8:$A$28))*$E222</f>
        <v>0</v>
      </c>
      <c r="K222" s="64">
        <f>INDEX('Allocator Summary'!F$8:F$28,MATCH($F222,'Allocator Summary'!$A$8:$A$28))*$E222</f>
        <v>0</v>
      </c>
      <c r="L222" s="64">
        <f>INDEX('Allocator Summary'!G$8:G$28,MATCH($F222,'Allocator Summary'!$A$8:$A$28))*$E222</f>
        <v>0</v>
      </c>
      <c r="M222" s="64">
        <f>INDEX('Allocator Summary'!H$8:H$28,MATCH($F222,'Allocator Summary'!$A$8:$A$28))*$E222</f>
        <v>112581</v>
      </c>
      <c r="N222" s="64">
        <f>INDEX('Allocator Summary'!I$8:I$28,MATCH($F222,'Allocator Summary'!$A$8:$A$28))*$E222</f>
        <v>0</v>
      </c>
      <c r="O222" s="64">
        <f>INDEX('Allocator Summary'!J$8:J$26,MATCH($F222,'Allocator Summary'!$A$8:$A$28))*$E222</f>
        <v>0</v>
      </c>
      <c r="P222" s="64">
        <f>INDEX('Allocator Summary'!K$8:K$26,MATCH($F222,'Allocator Summary'!$A$8:$A$28))*$E222</f>
        <v>0</v>
      </c>
      <c r="Q222" s="64">
        <f>INDEX('Allocator Summary'!L$8:L$28,MATCH($F222,'Allocator Summary'!$A$8:$A$28))*$E222</f>
        <v>0</v>
      </c>
      <c r="R222" s="64">
        <f t="shared" ref="R222:R225" si="97">SUM(H222:Q222)</f>
        <v>112581</v>
      </c>
      <c r="S222" s="64">
        <f>R222-E222</f>
        <v>0</v>
      </c>
    </row>
    <row r="223" spans="1:19" x14ac:dyDescent="0.25">
      <c r="A223" s="88"/>
      <c r="B223" s="89"/>
      <c r="C223" s="2" t="s">
        <v>8019</v>
      </c>
      <c r="E223" s="306">
        <f>+'COSS Step 1'!F201</f>
        <v>44035</v>
      </c>
      <c r="F223" s="36" t="s">
        <v>7008</v>
      </c>
      <c r="G223" t="str">
        <f>INDEX('Allocator Summary'!$B$8:$B$28,MATCH($F223,'Allocator Summary'!$A$8:$A$28))</f>
        <v>Storage</v>
      </c>
      <c r="H223" s="64">
        <f>INDEX('Allocator Summary'!C$8:C$28,MATCH($F223,'Allocator Summary'!$A$8:$A$28))*$E223</f>
        <v>0</v>
      </c>
      <c r="I223" s="64">
        <f>INDEX('Allocator Summary'!D$8:D$28,MATCH($F223,'Allocator Summary'!$A$8:$A$28))*$E223</f>
        <v>0</v>
      </c>
      <c r="J223" s="64">
        <f>INDEX('Allocator Summary'!E$8:E$28,MATCH($F223,'Allocator Summary'!$A$8:$A$28))*$E223</f>
        <v>0</v>
      </c>
      <c r="K223" s="64">
        <f>INDEX('Allocator Summary'!F$8:F$28,MATCH($F223,'Allocator Summary'!$A$8:$A$28))*$E223</f>
        <v>0</v>
      </c>
      <c r="L223" s="64">
        <f>INDEX('Allocator Summary'!G$8:G$28,MATCH($F223,'Allocator Summary'!$A$8:$A$28))*$E223</f>
        <v>0</v>
      </c>
      <c r="M223" s="64">
        <f>INDEX('Allocator Summary'!H$8:H$28,MATCH($F223,'Allocator Summary'!$A$8:$A$28))*$E223</f>
        <v>44035</v>
      </c>
      <c r="N223" s="64">
        <f>INDEX('Allocator Summary'!I$8:I$28,MATCH($F223,'Allocator Summary'!$A$8:$A$28))*$E223</f>
        <v>0</v>
      </c>
      <c r="O223" s="64">
        <f>INDEX('Allocator Summary'!J$8:J$26,MATCH($F223,'Allocator Summary'!$A$8:$A$28))*$E223</f>
        <v>0</v>
      </c>
      <c r="P223" s="64">
        <f>INDEX('Allocator Summary'!K$8:K$26,MATCH($F223,'Allocator Summary'!$A$8:$A$28))*$E223</f>
        <v>0</v>
      </c>
      <c r="Q223" s="64">
        <f>INDEX('Allocator Summary'!L$8:L$28,MATCH($F223,'Allocator Summary'!$A$8:$A$28))*$E223</f>
        <v>0</v>
      </c>
      <c r="R223" s="64">
        <f t="shared" si="97"/>
        <v>44035</v>
      </c>
      <c r="S223" s="64">
        <f>R223-E223</f>
        <v>0</v>
      </c>
    </row>
    <row r="224" spans="1:19" x14ac:dyDescent="0.25">
      <c r="A224" s="88"/>
      <c r="B224" s="89"/>
      <c r="C224" s="2" t="s">
        <v>8021</v>
      </c>
      <c r="E224" s="306">
        <f>+'COSS Step 1'!F202</f>
        <v>0</v>
      </c>
      <c r="F224" s="36" t="s">
        <v>7008</v>
      </c>
      <c r="G224" t="str">
        <f>INDEX('Allocator Summary'!$B$8:$B$28,MATCH($F224,'Allocator Summary'!$A$8:$A$28))</f>
        <v>Storage</v>
      </c>
      <c r="H224" s="64">
        <f>INDEX('Allocator Summary'!C$8:C$28,MATCH($F224,'Allocator Summary'!$A$8:$A$28))*$E224</f>
        <v>0</v>
      </c>
      <c r="I224" s="64">
        <f>INDEX('Allocator Summary'!D$8:D$28,MATCH($F224,'Allocator Summary'!$A$8:$A$28))*$E224</f>
        <v>0</v>
      </c>
      <c r="J224" s="64">
        <f>INDEX('Allocator Summary'!E$8:E$28,MATCH($F224,'Allocator Summary'!$A$8:$A$28))*$E224</f>
        <v>0</v>
      </c>
      <c r="K224" s="64">
        <f>INDEX('Allocator Summary'!F$8:F$28,MATCH($F224,'Allocator Summary'!$A$8:$A$28))*$E224</f>
        <v>0</v>
      </c>
      <c r="L224" s="64">
        <f>INDEX('Allocator Summary'!G$8:G$28,MATCH($F224,'Allocator Summary'!$A$8:$A$28))*$E224</f>
        <v>0</v>
      </c>
      <c r="M224" s="64">
        <f>INDEX('Allocator Summary'!H$8:H$28,MATCH($F224,'Allocator Summary'!$A$8:$A$28))*$E224</f>
        <v>0</v>
      </c>
      <c r="N224" s="64">
        <f>INDEX('Allocator Summary'!I$8:I$28,MATCH($F224,'Allocator Summary'!$A$8:$A$28))*$E224</f>
        <v>0</v>
      </c>
      <c r="O224" s="64">
        <f>INDEX('Allocator Summary'!J$8:J$26,MATCH($F224,'Allocator Summary'!$A$8:$A$28))*$E224</f>
        <v>0</v>
      </c>
      <c r="P224" s="64">
        <f>INDEX('Allocator Summary'!K$8:K$26,MATCH($F224,'Allocator Summary'!$A$8:$A$28))*$E224</f>
        <v>0</v>
      </c>
      <c r="Q224" s="64">
        <f>INDEX('Allocator Summary'!L$8:L$28,MATCH($F224,'Allocator Summary'!$A$8:$A$28))*$E224</f>
        <v>0</v>
      </c>
      <c r="R224" s="64">
        <f t="shared" si="97"/>
        <v>0</v>
      </c>
      <c r="S224" s="64">
        <f>R224-E224</f>
        <v>0</v>
      </c>
    </row>
    <row r="225" spans="1:19" x14ac:dyDescent="0.25">
      <c r="A225" s="88"/>
      <c r="B225" s="89"/>
      <c r="C225" s="2" t="s">
        <v>8023</v>
      </c>
      <c r="E225" s="306">
        <f>+'COSS Step 1'!F203</f>
        <v>9032</v>
      </c>
      <c r="F225" s="36" t="s">
        <v>7008</v>
      </c>
      <c r="G225" t="str">
        <f>INDEX('Allocator Summary'!$B$8:$B$28,MATCH($F225,'Allocator Summary'!$A$8:$A$28))</f>
        <v>Storage</v>
      </c>
      <c r="H225" s="64">
        <f>INDEX('Allocator Summary'!C$8:C$28,MATCH($F225,'Allocator Summary'!$A$8:$A$28))*$E225</f>
        <v>0</v>
      </c>
      <c r="I225" s="64">
        <f>INDEX('Allocator Summary'!D$8:D$28,MATCH($F225,'Allocator Summary'!$A$8:$A$28))*$E225</f>
        <v>0</v>
      </c>
      <c r="J225" s="64">
        <f>INDEX('Allocator Summary'!E$8:E$28,MATCH($F225,'Allocator Summary'!$A$8:$A$28))*$E225</f>
        <v>0</v>
      </c>
      <c r="K225" s="64">
        <f>INDEX('Allocator Summary'!F$8:F$28,MATCH($F225,'Allocator Summary'!$A$8:$A$28))*$E225</f>
        <v>0</v>
      </c>
      <c r="L225" s="64">
        <f>INDEX('Allocator Summary'!G$8:G$28,MATCH($F225,'Allocator Summary'!$A$8:$A$28))*$E225</f>
        <v>0</v>
      </c>
      <c r="M225" s="64">
        <f>INDEX('Allocator Summary'!H$8:H$28,MATCH($F225,'Allocator Summary'!$A$8:$A$28))*$E225</f>
        <v>9032</v>
      </c>
      <c r="N225" s="64">
        <f>INDEX('Allocator Summary'!I$8:I$28,MATCH($F225,'Allocator Summary'!$A$8:$A$28))*$E225</f>
        <v>0</v>
      </c>
      <c r="O225" s="64">
        <f>INDEX('Allocator Summary'!J$8:J$26,MATCH($F225,'Allocator Summary'!$A$8:$A$28))*$E225</f>
        <v>0</v>
      </c>
      <c r="P225" s="64">
        <f>INDEX('Allocator Summary'!K$8:K$26,MATCH($F225,'Allocator Summary'!$A$8:$A$28))*$E225</f>
        <v>0</v>
      </c>
      <c r="Q225" s="64">
        <f>INDEX('Allocator Summary'!L$8:L$28,MATCH($F225,'Allocator Summary'!$A$8:$A$28))*$E225</f>
        <v>0</v>
      </c>
      <c r="R225" s="64">
        <f t="shared" si="97"/>
        <v>9032</v>
      </c>
      <c r="S225" s="64">
        <f>R225-E225</f>
        <v>0</v>
      </c>
    </row>
    <row r="226" spans="1:19" x14ac:dyDescent="0.25">
      <c r="A226" s="54"/>
      <c r="B226" s="92"/>
      <c r="C226" s="54"/>
    </row>
    <row r="227" spans="1:19" x14ac:dyDescent="0.25">
      <c r="A227" s="54"/>
      <c r="B227" s="91" t="s">
        <v>28</v>
      </c>
      <c r="C227" s="54"/>
    </row>
    <row r="228" spans="1:19" x14ac:dyDescent="0.25">
      <c r="A228" s="88"/>
      <c r="B228" s="89"/>
      <c r="C228" s="2" t="s">
        <v>8035</v>
      </c>
      <c r="E228" s="306">
        <f>+'COSS Step 1'!F206</f>
        <v>889808</v>
      </c>
      <c r="F228" s="36" t="s">
        <v>7007</v>
      </c>
      <c r="G228" t="str">
        <f>INDEX('Allocator Summary'!$B$8:$B$28,MATCH($F228,'Allocator Summary'!$A$8:$A$28))</f>
        <v>Meters</v>
      </c>
      <c r="H228" s="64">
        <f>INDEX('Allocator Summary'!C$8:C$28,MATCH($F228,'Allocator Summary'!$A$8:$A$28))*$E228</f>
        <v>0</v>
      </c>
      <c r="I228" s="64">
        <f>INDEX('Allocator Summary'!D$8:D$28,MATCH($F228,'Allocator Summary'!$A$8:$A$28))*$E228</f>
        <v>0</v>
      </c>
      <c r="J228" s="64">
        <f>INDEX('Allocator Summary'!E$8:E$28,MATCH($F228,'Allocator Summary'!$A$8:$A$28))*$E228</f>
        <v>0</v>
      </c>
      <c r="K228" s="64">
        <f>INDEX('Allocator Summary'!F$8:F$28,MATCH($F228,'Allocator Summary'!$A$8:$A$28))*$E228</f>
        <v>0</v>
      </c>
      <c r="L228" s="64">
        <f>INDEX('Allocator Summary'!G$8:G$28,MATCH($F228,'Allocator Summary'!$A$8:$A$28))*$E228</f>
        <v>0</v>
      </c>
      <c r="M228" s="64">
        <f>INDEX('Allocator Summary'!H$8:H$28,MATCH($F228,'Allocator Summary'!$A$8:$A$28))*$E228</f>
        <v>0</v>
      </c>
      <c r="N228" s="64">
        <f>INDEX('Allocator Summary'!I$8:I$28,MATCH($F228,'Allocator Summary'!$A$8:$A$28))*$E228</f>
        <v>889808</v>
      </c>
      <c r="O228" s="64">
        <f>INDEX('Allocator Summary'!J$8:J$26,MATCH($F228,'Allocator Summary'!$A$8:$A$28))*$E228</f>
        <v>0</v>
      </c>
      <c r="P228" s="64">
        <f>INDEX('Allocator Summary'!K$8:K$26,MATCH($F228,'Allocator Summary'!$A$8:$A$28))*$E228</f>
        <v>0</v>
      </c>
      <c r="Q228" s="64">
        <f>INDEX('Allocator Summary'!L$8:L$28,MATCH($F228,'Allocator Summary'!$A$8:$A$28))*$E228</f>
        <v>0</v>
      </c>
      <c r="R228" s="64">
        <f t="shared" ref="R228:R232" si="98">SUM(H228:Q228)</f>
        <v>889808</v>
      </c>
      <c r="S228" s="64">
        <f>R228-E228</f>
        <v>0</v>
      </c>
    </row>
    <row r="229" spans="1:19" x14ac:dyDescent="0.25">
      <c r="A229" s="88"/>
      <c r="B229" s="89"/>
      <c r="C229" s="2" t="s">
        <v>8037</v>
      </c>
      <c r="E229" s="306">
        <f>+'COSS Step 1'!F207</f>
        <v>31633</v>
      </c>
      <c r="F229" s="36" t="s">
        <v>7007</v>
      </c>
      <c r="G229" t="str">
        <f>INDEX('Allocator Summary'!$B$8:$B$28,MATCH($F229,'Allocator Summary'!$A$8:$A$28))</f>
        <v>Meters</v>
      </c>
      <c r="H229" s="64">
        <f>INDEX('Allocator Summary'!C$8:C$28,MATCH($F229,'Allocator Summary'!$A$8:$A$28))*$E229</f>
        <v>0</v>
      </c>
      <c r="I229" s="64">
        <f>INDEX('Allocator Summary'!D$8:D$28,MATCH($F229,'Allocator Summary'!$A$8:$A$28))*$E229</f>
        <v>0</v>
      </c>
      <c r="J229" s="64">
        <f>INDEX('Allocator Summary'!E$8:E$28,MATCH($F229,'Allocator Summary'!$A$8:$A$28))*$E229</f>
        <v>0</v>
      </c>
      <c r="K229" s="64">
        <f>INDEX('Allocator Summary'!F$8:F$28,MATCH($F229,'Allocator Summary'!$A$8:$A$28))*$E229</f>
        <v>0</v>
      </c>
      <c r="L229" s="64">
        <f>INDEX('Allocator Summary'!G$8:G$28,MATCH($F229,'Allocator Summary'!$A$8:$A$28))*$E229</f>
        <v>0</v>
      </c>
      <c r="M229" s="64">
        <f>INDEX('Allocator Summary'!H$8:H$28,MATCH($F229,'Allocator Summary'!$A$8:$A$28))*$E229</f>
        <v>0</v>
      </c>
      <c r="N229" s="64">
        <f>INDEX('Allocator Summary'!I$8:I$28,MATCH($F229,'Allocator Summary'!$A$8:$A$28))*$E229</f>
        <v>31633</v>
      </c>
      <c r="O229" s="64">
        <f>INDEX('Allocator Summary'!J$8:J$26,MATCH($F229,'Allocator Summary'!$A$8:$A$28))*$E229</f>
        <v>0</v>
      </c>
      <c r="P229" s="64">
        <f>INDEX('Allocator Summary'!K$8:K$26,MATCH($F229,'Allocator Summary'!$A$8:$A$28))*$E229</f>
        <v>0</v>
      </c>
      <c r="Q229" s="64">
        <f>INDEX('Allocator Summary'!L$8:L$28,MATCH($F229,'Allocator Summary'!$A$8:$A$28))*$E229</f>
        <v>0</v>
      </c>
      <c r="R229" s="64">
        <f t="shared" si="98"/>
        <v>31633</v>
      </c>
      <c r="S229" s="64">
        <f>R229-E229</f>
        <v>0</v>
      </c>
    </row>
    <row r="230" spans="1:19" x14ac:dyDescent="0.25">
      <c r="A230" s="88"/>
      <c r="B230" s="89"/>
      <c r="C230" s="2" t="s">
        <v>8039</v>
      </c>
      <c r="E230" s="306">
        <f>+'COSS Step 1'!F208</f>
        <v>367580</v>
      </c>
      <c r="F230" s="36" t="s">
        <v>7007</v>
      </c>
      <c r="G230" t="str">
        <f>INDEX('Allocator Summary'!$B$8:$B$28,MATCH($F230,'Allocator Summary'!$A$8:$A$28))</f>
        <v>Meters</v>
      </c>
      <c r="H230" s="64">
        <f>INDEX('Allocator Summary'!C$8:C$28,MATCH($F230,'Allocator Summary'!$A$8:$A$28))*$E230</f>
        <v>0</v>
      </c>
      <c r="I230" s="64">
        <f>INDEX('Allocator Summary'!D$8:D$28,MATCH($F230,'Allocator Summary'!$A$8:$A$28))*$E230</f>
        <v>0</v>
      </c>
      <c r="J230" s="64">
        <f>INDEX('Allocator Summary'!E$8:E$28,MATCH($F230,'Allocator Summary'!$A$8:$A$28))*$E230</f>
        <v>0</v>
      </c>
      <c r="K230" s="64">
        <f>INDEX('Allocator Summary'!F$8:F$28,MATCH($F230,'Allocator Summary'!$A$8:$A$28))*$E230</f>
        <v>0</v>
      </c>
      <c r="L230" s="64">
        <f>INDEX('Allocator Summary'!G$8:G$28,MATCH($F230,'Allocator Summary'!$A$8:$A$28))*$E230</f>
        <v>0</v>
      </c>
      <c r="M230" s="64">
        <f>INDEX('Allocator Summary'!H$8:H$28,MATCH($F230,'Allocator Summary'!$A$8:$A$28))*$E230</f>
        <v>0</v>
      </c>
      <c r="N230" s="64">
        <f>INDEX('Allocator Summary'!I$8:I$28,MATCH($F230,'Allocator Summary'!$A$8:$A$28))*$E230</f>
        <v>367580</v>
      </c>
      <c r="O230" s="64">
        <f>INDEX('Allocator Summary'!J$8:J$26,MATCH($F230,'Allocator Summary'!$A$8:$A$28))*$E230</f>
        <v>0</v>
      </c>
      <c r="P230" s="64">
        <f>INDEX('Allocator Summary'!K$8:K$26,MATCH($F230,'Allocator Summary'!$A$8:$A$28))*$E230</f>
        <v>0</v>
      </c>
      <c r="Q230" s="64">
        <f>INDEX('Allocator Summary'!L$8:L$28,MATCH($F230,'Allocator Summary'!$A$8:$A$28))*$E230</f>
        <v>0</v>
      </c>
      <c r="R230" s="64">
        <f t="shared" ref="R230" si="99">SUM(H230:Q230)</f>
        <v>367580</v>
      </c>
      <c r="S230" s="64">
        <f>R230-E230</f>
        <v>0</v>
      </c>
    </row>
    <row r="231" spans="1:19" x14ac:dyDescent="0.25">
      <c r="A231" s="88"/>
      <c r="B231" s="89"/>
      <c r="C231" s="2" t="s">
        <v>8041</v>
      </c>
      <c r="E231" s="306">
        <f>+'COSS Step 1'!F209</f>
        <v>14398</v>
      </c>
      <c r="F231" s="36" t="s">
        <v>7007</v>
      </c>
      <c r="G231" t="str">
        <f>INDEX('Allocator Summary'!$B$8:$B$28,MATCH($F231,'Allocator Summary'!$A$8:$A$28))</f>
        <v>Meters</v>
      </c>
      <c r="H231" s="64">
        <f>INDEX('Allocator Summary'!C$8:C$28,MATCH($F231,'Allocator Summary'!$A$8:$A$28))*$E231</f>
        <v>0</v>
      </c>
      <c r="I231" s="64">
        <f>INDEX('Allocator Summary'!D$8:D$28,MATCH($F231,'Allocator Summary'!$A$8:$A$28))*$E231</f>
        <v>0</v>
      </c>
      <c r="J231" s="64">
        <f>INDEX('Allocator Summary'!E$8:E$28,MATCH($F231,'Allocator Summary'!$A$8:$A$28))*$E231</f>
        <v>0</v>
      </c>
      <c r="K231" s="64">
        <f>INDEX('Allocator Summary'!F$8:F$28,MATCH($F231,'Allocator Summary'!$A$8:$A$28))*$E231</f>
        <v>0</v>
      </c>
      <c r="L231" s="64">
        <f>INDEX('Allocator Summary'!G$8:G$28,MATCH($F231,'Allocator Summary'!$A$8:$A$28))*$E231</f>
        <v>0</v>
      </c>
      <c r="M231" s="64">
        <f>INDEX('Allocator Summary'!H$8:H$28,MATCH($F231,'Allocator Summary'!$A$8:$A$28))*$E231</f>
        <v>0</v>
      </c>
      <c r="N231" s="64">
        <f>INDEX('Allocator Summary'!I$8:I$28,MATCH($F231,'Allocator Summary'!$A$8:$A$28))*$E231</f>
        <v>14398</v>
      </c>
      <c r="O231" s="64">
        <f>INDEX('Allocator Summary'!J$8:J$26,MATCH($F231,'Allocator Summary'!$A$8:$A$28))*$E231</f>
        <v>0</v>
      </c>
      <c r="P231" s="64">
        <f>INDEX('Allocator Summary'!K$8:K$26,MATCH($F231,'Allocator Summary'!$A$8:$A$28))*$E231</f>
        <v>0</v>
      </c>
      <c r="Q231" s="64">
        <f>INDEX('Allocator Summary'!L$8:L$28,MATCH($F231,'Allocator Summary'!$A$8:$A$28))*$E231</f>
        <v>0</v>
      </c>
      <c r="R231" s="64">
        <f t="shared" si="98"/>
        <v>14398</v>
      </c>
      <c r="S231" s="64">
        <f>R231-E231</f>
        <v>0</v>
      </c>
    </row>
    <row r="232" spans="1:19" x14ac:dyDescent="0.25">
      <c r="A232" s="88"/>
      <c r="B232" s="89"/>
      <c r="C232" s="2" t="s">
        <v>8043</v>
      </c>
      <c r="E232" s="306">
        <f>+'COSS Step 1'!F210</f>
        <v>114766</v>
      </c>
      <c r="F232" s="36" t="s">
        <v>7007</v>
      </c>
      <c r="G232" t="str">
        <f>INDEX('Allocator Summary'!$B$8:$B$28,MATCH($F232,'Allocator Summary'!$A$8:$A$28))</f>
        <v>Meters</v>
      </c>
      <c r="H232" s="64">
        <f>INDEX('Allocator Summary'!C$8:C$28,MATCH($F232,'Allocator Summary'!$A$8:$A$28))*$E232</f>
        <v>0</v>
      </c>
      <c r="I232" s="64">
        <f>INDEX('Allocator Summary'!D$8:D$28,MATCH($F232,'Allocator Summary'!$A$8:$A$28))*$E232</f>
        <v>0</v>
      </c>
      <c r="J232" s="64">
        <f>INDEX('Allocator Summary'!E$8:E$28,MATCH($F232,'Allocator Summary'!$A$8:$A$28))*$E232</f>
        <v>0</v>
      </c>
      <c r="K232" s="64">
        <f>INDEX('Allocator Summary'!F$8:F$28,MATCH($F232,'Allocator Summary'!$A$8:$A$28))*$E232</f>
        <v>0</v>
      </c>
      <c r="L232" s="64">
        <f>INDEX('Allocator Summary'!G$8:G$28,MATCH($F232,'Allocator Summary'!$A$8:$A$28))*$E232</f>
        <v>0</v>
      </c>
      <c r="M232" s="64">
        <f>INDEX('Allocator Summary'!H$8:H$28,MATCH($F232,'Allocator Summary'!$A$8:$A$28))*$E232</f>
        <v>0</v>
      </c>
      <c r="N232" s="64">
        <f>INDEX('Allocator Summary'!I$8:I$28,MATCH($F232,'Allocator Summary'!$A$8:$A$28))*$E232</f>
        <v>114766</v>
      </c>
      <c r="O232" s="64">
        <f>INDEX('Allocator Summary'!J$8:J$26,MATCH($F232,'Allocator Summary'!$A$8:$A$28))*$E232</f>
        <v>0</v>
      </c>
      <c r="P232" s="64">
        <f>INDEX('Allocator Summary'!K$8:K$26,MATCH($F232,'Allocator Summary'!$A$8:$A$28))*$E232</f>
        <v>0</v>
      </c>
      <c r="Q232" s="64">
        <f>INDEX('Allocator Summary'!L$8:L$28,MATCH($F232,'Allocator Summary'!$A$8:$A$28))*$E232</f>
        <v>0</v>
      </c>
      <c r="R232" s="64">
        <f t="shared" si="98"/>
        <v>114766</v>
      </c>
      <c r="S232" s="64">
        <f>R232-E232</f>
        <v>0</v>
      </c>
    </row>
    <row r="233" spans="1:19" x14ac:dyDescent="0.25">
      <c r="A233" s="88"/>
      <c r="B233" s="89"/>
      <c r="C233" s="2"/>
      <c r="F233" s="36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</row>
    <row r="234" spans="1:19" x14ac:dyDescent="0.25">
      <c r="A234" s="54"/>
      <c r="B234" s="91" t="s">
        <v>27</v>
      </c>
      <c r="C234" s="54"/>
    </row>
    <row r="235" spans="1:19" x14ac:dyDescent="0.25">
      <c r="A235" s="88"/>
      <c r="B235" s="89"/>
      <c r="C235" s="2" t="s">
        <v>8033</v>
      </c>
      <c r="E235" s="306">
        <f>+'COSS Step 1'!F213</f>
        <v>133148</v>
      </c>
      <c r="F235" s="36" t="s">
        <v>7010</v>
      </c>
      <c r="G235" t="str">
        <f>INDEX('Allocator Summary'!$B$8:$B$28,MATCH($F235,'Allocator Summary'!$A$8:$A$28))</f>
        <v>Services</v>
      </c>
      <c r="H235" s="64">
        <f>INDEX('Allocator Summary'!C$8:C$28,MATCH($F235,'Allocator Summary'!$A$8:$A$28))*$E235</f>
        <v>0</v>
      </c>
      <c r="I235" s="64">
        <f>INDEX('Allocator Summary'!D$8:D$28,MATCH($F235,'Allocator Summary'!$A$8:$A$28))*$E235</f>
        <v>0</v>
      </c>
      <c r="J235" s="64">
        <f>INDEX('Allocator Summary'!E$8:E$28,MATCH($F235,'Allocator Summary'!$A$8:$A$28))*$E235</f>
        <v>0</v>
      </c>
      <c r="K235" s="64">
        <f>INDEX('Allocator Summary'!F$8:F$28,MATCH($F235,'Allocator Summary'!$A$8:$A$28))*$E235</f>
        <v>0</v>
      </c>
      <c r="L235" s="64">
        <f>INDEX('Allocator Summary'!G$8:G$28,MATCH($F235,'Allocator Summary'!$A$8:$A$28))*$E235</f>
        <v>0</v>
      </c>
      <c r="M235" s="64">
        <f>INDEX('Allocator Summary'!H$8:H$28,MATCH($F235,'Allocator Summary'!$A$8:$A$28))*$E235</f>
        <v>0</v>
      </c>
      <c r="N235" s="64">
        <f>INDEX('Allocator Summary'!I$8:I$28,MATCH($F235,'Allocator Summary'!$A$8:$A$28))*$E235</f>
        <v>0</v>
      </c>
      <c r="O235" s="64">
        <f>INDEX('Allocator Summary'!J$8:J$26,MATCH($F235,'Allocator Summary'!$A$8:$A$28))*$E235</f>
        <v>133148</v>
      </c>
      <c r="P235" s="64">
        <f>INDEX('Allocator Summary'!K$8:K$26,MATCH($F235,'Allocator Summary'!$A$8:$A$28))*$E235</f>
        <v>0</v>
      </c>
      <c r="Q235" s="64">
        <f>INDEX('Allocator Summary'!L$8:L$28,MATCH($F235,'Allocator Summary'!$A$8:$A$28))*$E235</f>
        <v>0</v>
      </c>
      <c r="R235" s="64">
        <f t="shared" ref="R235" si="100">SUM(H235:Q235)</f>
        <v>133148</v>
      </c>
      <c r="S235" s="64">
        <f>R235-E235</f>
        <v>0</v>
      </c>
    </row>
    <row r="236" spans="1:19" x14ac:dyDescent="0.25">
      <c r="A236" s="88"/>
      <c r="B236" s="89"/>
      <c r="C236" s="2"/>
      <c r="F236" s="36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</row>
    <row r="237" spans="1:19" x14ac:dyDescent="0.25">
      <c r="A237" s="54"/>
      <c r="B237" s="91" t="s">
        <v>30</v>
      </c>
      <c r="C237" s="54"/>
    </row>
    <row r="238" spans="1:19" x14ac:dyDescent="0.25">
      <c r="A238" s="88"/>
      <c r="B238" s="89"/>
      <c r="C238" s="2" t="s">
        <v>8045</v>
      </c>
      <c r="E238" s="306">
        <f>+'COSS Step 1'!F216</f>
        <v>530835</v>
      </c>
      <c r="F238" s="36" t="s">
        <v>7009</v>
      </c>
      <c r="G238" t="str">
        <f>INDEX('Allocator Summary'!$B$8:$B$28,MATCH($F238,'Allocator Summary'!$A$8:$A$28))</f>
        <v>Hydrants</v>
      </c>
      <c r="H238" s="64">
        <f>INDEX('Allocator Summary'!C$8:C$28,MATCH($F238,'Allocator Summary'!$A$8:$A$28))*$E238</f>
        <v>0</v>
      </c>
      <c r="I238" s="64">
        <f>INDEX('Allocator Summary'!D$8:D$28,MATCH($F238,'Allocator Summary'!$A$8:$A$28))*$E238</f>
        <v>0</v>
      </c>
      <c r="J238" s="64">
        <f>INDEX('Allocator Summary'!E$8:E$28,MATCH($F238,'Allocator Summary'!$A$8:$A$28))*$E238</f>
        <v>0</v>
      </c>
      <c r="K238" s="64">
        <f>INDEX('Allocator Summary'!F$8:F$28,MATCH($F238,'Allocator Summary'!$A$8:$A$28))*$E238</f>
        <v>0</v>
      </c>
      <c r="L238" s="64">
        <f>INDEX('Allocator Summary'!G$8:G$28,MATCH($F238,'Allocator Summary'!$A$8:$A$28))*$E238</f>
        <v>0</v>
      </c>
      <c r="M238" s="64">
        <f>INDEX('Allocator Summary'!H$8:H$28,MATCH($F238,'Allocator Summary'!$A$8:$A$28))*$E238</f>
        <v>0</v>
      </c>
      <c r="N238" s="64">
        <f>INDEX('Allocator Summary'!I$8:I$28,MATCH($F238,'Allocator Summary'!$A$8:$A$28))*$E238</f>
        <v>0</v>
      </c>
      <c r="O238" s="64">
        <f>INDEX('Allocator Summary'!J$8:J$26,MATCH($F238,'Allocator Summary'!$A$8:$A$28))*$E238</f>
        <v>0</v>
      </c>
      <c r="P238" s="64">
        <f>INDEX('Allocator Summary'!K$8:K$26,MATCH($F238,'Allocator Summary'!$A$8:$A$28))*$E238</f>
        <v>0</v>
      </c>
      <c r="Q238" s="64">
        <f>INDEX('Allocator Summary'!L$8:L$28,MATCH($F238,'Allocator Summary'!$A$8:$A$28))*$E238</f>
        <v>530835</v>
      </c>
      <c r="R238" s="64">
        <f t="shared" ref="R238" si="101">SUM(H238:Q238)</f>
        <v>530835</v>
      </c>
      <c r="S238" s="64">
        <f>R238-E238</f>
        <v>0</v>
      </c>
    </row>
    <row r="239" spans="1:19" x14ac:dyDescent="0.25">
      <c r="A239" s="88"/>
      <c r="B239" s="89"/>
      <c r="C239" s="2"/>
      <c r="F239" s="36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</row>
    <row r="240" spans="1:19" x14ac:dyDescent="0.25">
      <c r="A240" s="54"/>
      <c r="B240" s="91" t="s">
        <v>31</v>
      </c>
      <c r="C240" s="54"/>
    </row>
    <row r="241" spans="1:19" x14ac:dyDescent="0.25">
      <c r="A241" s="88"/>
      <c r="B241" s="89"/>
      <c r="C241" s="15" t="s">
        <v>8049</v>
      </c>
      <c r="E241" s="306">
        <f>+'COSS Step 1'!F219</f>
        <v>0</v>
      </c>
      <c r="F241" s="36">
        <v>3</v>
      </c>
      <c r="G241" t="str">
        <f>INDEX('Allocator Summary'!$B$8:$B$28,MATCH($F241,'Allocator Summary'!$A$8:$A$28))</f>
        <v>Fixed O&amp;M</v>
      </c>
      <c r="H241" s="64">
        <f>INDEX('Allocator Summary'!C$8:C$28,MATCH($F241,'Allocator Summary'!$A$8:$A$28))*$E241</f>
        <v>0</v>
      </c>
      <c r="I241" s="64">
        <f>INDEX('Allocator Summary'!D$8:D$28,MATCH($F241,'Allocator Summary'!$A$8:$A$28))*$E241</f>
        <v>0</v>
      </c>
      <c r="J241" s="64">
        <f>INDEX('Allocator Summary'!E$8:E$28,MATCH($F241,'Allocator Summary'!$A$8:$A$28))*$E241</f>
        <v>0</v>
      </c>
      <c r="K241" s="64">
        <f>INDEX('Allocator Summary'!F$8:F$28,MATCH($F241,'Allocator Summary'!$A$8:$A$28))*$E241</f>
        <v>0</v>
      </c>
      <c r="L241" s="64">
        <f>INDEX('Allocator Summary'!G$8:G$28,MATCH($F241,'Allocator Summary'!$A$8:$A$28))*$E241</f>
        <v>0</v>
      </c>
      <c r="M241" s="64">
        <f>INDEX('Allocator Summary'!H$8:H$28,MATCH($F241,'Allocator Summary'!$A$8:$A$28))*$E241</f>
        <v>0</v>
      </c>
      <c r="N241" s="64">
        <f>INDEX('Allocator Summary'!I$8:I$28,MATCH($F241,'Allocator Summary'!$A$8:$A$28))*$E241</f>
        <v>0</v>
      </c>
      <c r="O241" s="64">
        <f>INDEX('Allocator Summary'!J$8:J$26,MATCH($F241,'Allocator Summary'!$A$8:$A$28))*$E241</f>
        <v>0</v>
      </c>
      <c r="P241" s="64">
        <f>INDEX('Allocator Summary'!K$8:K$26,MATCH($F241,'Allocator Summary'!$A$8:$A$28))*$E241</f>
        <v>0</v>
      </c>
      <c r="Q241" s="64">
        <f>INDEX('Allocator Summary'!L$8:L$28,MATCH($F241,'Allocator Summary'!$A$8:$A$28))*$E241</f>
        <v>0</v>
      </c>
      <c r="R241" s="64">
        <f t="shared" ref="R241" si="102">SUM(H241:Q241)</f>
        <v>0</v>
      </c>
      <c r="S241" s="64">
        <f t="shared" ref="S241:S269" si="103">R241-E241</f>
        <v>0</v>
      </c>
    </row>
    <row r="242" spans="1:19" x14ac:dyDescent="0.25">
      <c r="A242" s="88"/>
      <c r="B242" s="89"/>
      <c r="C242" s="15" t="s">
        <v>8051</v>
      </c>
      <c r="E242" s="306">
        <f>+'COSS Step 1'!F220</f>
        <v>31766</v>
      </c>
      <c r="F242" s="36">
        <v>3</v>
      </c>
      <c r="G242" t="str">
        <f>INDEX('Allocator Summary'!$B$8:$B$28,MATCH($F242,'Allocator Summary'!$A$8:$A$28))</f>
        <v>Fixed O&amp;M</v>
      </c>
      <c r="H242" s="64">
        <f>INDEX('Allocator Summary'!C$8:C$28,MATCH($F242,'Allocator Summary'!$A$8:$A$28))*$E242</f>
        <v>679.49913658140224</v>
      </c>
      <c r="I242" s="64">
        <f>INDEX('Allocator Summary'!D$8:D$28,MATCH($F242,'Allocator Summary'!$A$8:$A$28))*$E242</f>
        <v>5606.996852622553</v>
      </c>
      <c r="J242" s="64">
        <f>INDEX('Allocator Summary'!E$8:E$28,MATCH($F242,'Allocator Summary'!$A$8:$A$28))*$E242</f>
        <v>3697.9148695222475</v>
      </c>
      <c r="K242" s="64">
        <f>INDEX('Allocator Summary'!F$8:F$28,MATCH($F242,'Allocator Summary'!$A$8:$A$28))*$E242</f>
        <v>1904.1089698123192</v>
      </c>
      <c r="L242" s="64">
        <f>INDEX('Allocator Summary'!G$8:G$28,MATCH($F242,'Allocator Summary'!$A$8:$A$28))*$E242</f>
        <v>5783.5407783494165</v>
      </c>
      <c r="M242" s="64">
        <f>INDEX('Allocator Summary'!H$8:H$28,MATCH($F242,'Allocator Summary'!$A$8:$A$28))*$E242</f>
        <v>33.849264847512963</v>
      </c>
      <c r="N242" s="64">
        <f>INDEX('Allocator Summary'!I$8:I$28,MATCH($F242,'Allocator Summary'!$A$8:$A$28))*$E242</f>
        <v>639.50017722100142</v>
      </c>
      <c r="O242" s="64">
        <f>INDEX('Allocator Summary'!J$8:J$26,MATCH($F242,'Allocator Summary'!$A$8:$A$28))*$E242</f>
        <v>129.22618173885823</v>
      </c>
      <c r="P242" s="64">
        <f>INDEX('Allocator Summary'!K$8:K$26,MATCH($F242,'Allocator Summary'!$A$8:$A$28))*$E242</f>
        <v>8393.2789442188678</v>
      </c>
      <c r="Q242" s="64">
        <f>INDEX('Allocator Summary'!L$8:L$28,MATCH($F242,'Allocator Summary'!$A$8:$A$28))*$E242</f>
        <v>4898.0848250858098</v>
      </c>
      <c r="R242" s="64">
        <f t="shared" ref="R242:R269" si="104">SUM(H242:Q242)</f>
        <v>31765.999999999985</v>
      </c>
      <c r="S242" s="64">
        <f t="shared" si="103"/>
        <v>0</v>
      </c>
    </row>
    <row r="243" spans="1:19" x14ac:dyDescent="0.25">
      <c r="A243" s="88"/>
      <c r="B243" s="89"/>
      <c r="C243" s="15" t="s">
        <v>8053</v>
      </c>
      <c r="E243" s="306">
        <f>+'COSS Step 1'!F221</f>
        <v>0</v>
      </c>
      <c r="F243" s="36">
        <v>3</v>
      </c>
      <c r="G243" t="str">
        <f>INDEX('Allocator Summary'!$B$8:$B$28,MATCH($F243,'Allocator Summary'!$A$8:$A$28))</f>
        <v>Fixed O&amp;M</v>
      </c>
      <c r="H243" s="64">
        <f>INDEX('Allocator Summary'!C$8:C$28,MATCH($F243,'Allocator Summary'!$A$8:$A$28))*$E243</f>
        <v>0</v>
      </c>
      <c r="I243" s="64">
        <f>INDEX('Allocator Summary'!D$8:D$28,MATCH($F243,'Allocator Summary'!$A$8:$A$28))*$E243</f>
        <v>0</v>
      </c>
      <c r="J243" s="64">
        <f>INDEX('Allocator Summary'!E$8:E$28,MATCH($F243,'Allocator Summary'!$A$8:$A$28))*$E243</f>
        <v>0</v>
      </c>
      <c r="K243" s="64">
        <f>INDEX('Allocator Summary'!F$8:F$28,MATCH($F243,'Allocator Summary'!$A$8:$A$28))*$E243</f>
        <v>0</v>
      </c>
      <c r="L243" s="64">
        <f>INDEX('Allocator Summary'!G$8:G$28,MATCH($F243,'Allocator Summary'!$A$8:$A$28))*$E243</f>
        <v>0</v>
      </c>
      <c r="M243" s="64">
        <f>INDEX('Allocator Summary'!H$8:H$28,MATCH($F243,'Allocator Summary'!$A$8:$A$28))*$E243</f>
        <v>0</v>
      </c>
      <c r="N243" s="64">
        <f>INDEX('Allocator Summary'!I$8:I$28,MATCH($F243,'Allocator Summary'!$A$8:$A$28))*$E243</f>
        <v>0</v>
      </c>
      <c r="O243" s="64">
        <f>INDEX('Allocator Summary'!J$8:J$26,MATCH($F243,'Allocator Summary'!$A$8:$A$28))*$E243</f>
        <v>0</v>
      </c>
      <c r="P243" s="64">
        <f>INDEX('Allocator Summary'!K$8:K$26,MATCH($F243,'Allocator Summary'!$A$8:$A$28))*$E243</f>
        <v>0</v>
      </c>
      <c r="Q243" s="64">
        <f>INDEX('Allocator Summary'!L$8:L$28,MATCH($F243,'Allocator Summary'!$A$8:$A$28))*$E243</f>
        <v>0</v>
      </c>
      <c r="R243" s="64">
        <f t="shared" si="104"/>
        <v>0</v>
      </c>
      <c r="S243" s="64">
        <f t="shared" si="103"/>
        <v>0</v>
      </c>
    </row>
    <row r="244" spans="1:19" x14ac:dyDescent="0.25">
      <c r="A244" s="88"/>
      <c r="B244" s="89"/>
      <c r="C244" s="15" t="s">
        <v>8055</v>
      </c>
      <c r="E244" s="306">
        <f>+'COSS Step 1'!F222</f>
        <v>8975</v>
      </c>
      <c r="F244" s="36">
        <v>3</v>
      </c>
      <c r="G244" t="str">
        <f>INDEX('Allocator Summary'!$B$8:$B$28,MATCH($F244,'Allocator Summary'!$A$8:$A$28))</f>
        <v>Fixed O&amp;M</v>
      </c>
      <c r="H244" s="64">
        <f>INDEX('Allocator Summary'!C$8:C$28,MATCH($F244,'Allocator Summary'!$A$8:$A$28))*$E244</f>
        <v>191.98214288289637</v>
      </c>
      <c r="I244" s="64">
        <f>INDEX('Allocator Summary'!D$8:D$28,MATCH($F244,'Allocator Summary'!$A$8:$A$28))*$E244</f>
        <v>1584.1716537268594</v>
      </c>
      <c r="J244" s="64">
        <f>INDEX('Allocator Summary'!E$8:E$28,MATCH($F244,'Allocator Summary'!$A$8:$A$28))*$E244</f>
        <v>1044.7895849009058</v>
      </c>
      <c r="K244" s="64">
        <f>INDEX('Allocator Summary'!F$8:F$28,MATCH($F244,'Allocator Summary'!$A$8:$A$28))*$E244</f>
        <v>537.97701958274774</v>
      </c>
      <c r="L244" s="64">
        <f>INDEX('Allocator Summary'!G$8:G$28,MATCH($F244,'Allocator Summary'!$A$8:$A$28))*$E244</f>
        <v>1634.0514539345845</v>
      </c>
      <c r="M244" s="64">
        <f>INDEX('Allocator Summary'!H$8:H$28,MATCH($F244,'Allocator Summary'!$A$8:$A$28))*$E244</f>
        <v>9.5635947870814348</v>
      </c>
      <c r="N244" s="64">
        <f>INDEX('Allocator Summary'!I$8:I$28,MATCH($F244,'Allocator Summary'!$A$8:$A$28))*$E244</f>
        <v>180.68104547498859</v>
      </c>
      <c r="O244" s="64">
        <f>INDEX('Allocator Summary'!J$8:J$26,MATCH($F244,'Allocator Summary'!$A$8:$A$28))*$E244</f>
        <v>36.510891554059448</v>
      </c>
      <c r="P244" s="64">
        <f>INDEX('Allocator Summary'!K$8:K$26,MATCH($F244,'Allocator Summary'!$A$8:$A$28))*$E244</f>
        <v>2371.3932671524381</v>
      </c>
      <c r="Q244" s="64">
        <f>INDEX('Allocator Summary'!L$8:L$28,MATCH($F244,'Allocator Summary'!$A$8:$A$28))*$E244</f>
        <v>1383.8793460034358</v>
      </c>
      <c r="R244" s="64">
        <f t="shared" ref="R244" si="105">SUM(H244:Q244)</f>
        <v>8974.9999999999964</v>
      </c>
      <c r="S244" s="64">
        <f t="shared" si="103"/>
        <v>0</v>
      </c>
    </row>
    <row r="245" spans="1:19" x14ac:dyDescent="0.25">
      <c r="A245" s="88"/>
      <c r="B245" s="89"/>
      <c r="C245" s="15" t="s">
        <v>8057</v>
      </c>
      <c r="E245" s="306">
        <f>+'COSS Step 1'!F223</f>
        <v>0</v>
      </c>
      <c r="F245" s="36">
        <v>3</v>
      </c>
      <c r="G245" t="str">
        <f>INDEX('Allocator Summary'!$B$8:$B$28,MATCH($F245,'Allocator Summary'!$A$8:$A$28))</f>
        <v>Fixed O&amp;M</v>
      </c>
      <c r="H245" s="64">
        <f>INDEX('Allocator Summary'!C$8:C$28,MATCH($F245,'Allocator Summary'!$A$8:$A$28))*$E245</f>
        <v>0</v>
      </c>
      <c r="I245" s="64">
        <f>INDEX('Allocator Summary'!D$8:D$28,MATCH($F245,'Allocator Summary'!$A$8:$A$28))*$E245</f>
        <v>0</v>
      </c>
      <c r="J245" s="64">
        <f>INDEX('Allocator Summary'!E$8:E$28,MATCH($F245,'Allocator Summary'!$A$8:$A$28))*$E245</f>
        <v>0</v>
      </c>
      <c r="K245" s="64">
        <f>INDEX('Allocator Summary'!F$8:F$28,MATCH($F245,'Allocator Summary'!$A$8:$A$28))*$E245</f>
        <v>0</v>
      </c>
      <c r="L245" s="64">
        <f>INDEX('Allocator Summary'!G$8:G$28,MATCH($F245,'Allocator Summary'!$A$8:$A$28))*$E245</f>
        <v>0</v>
      </c>
      <c r="M245" s="64">
        <f>INDEX('Allocator Summary'!H$8:H$28,MATCH($F245,'Allocator Summary'!$A$8:$A$28))*$E245</f>
        <v>0</v>
      </c>
      <c r="N245" s="64">
        <f>INDEX('Allocator Summary'!I$8:I$28,MATCH($F245,'Allocator Summary'!$A$8:$A$28))*$E245</f>
        <v>0</v>
      </c>
      <c r="O245" s="64">
        <f>INDEX('Allocator Summary'!J$8:J$26,MATCH($F245,'Allocator Summary'!$A$8:$A$28))*$E245</f>
        <v>0</v>
      </c>
      <c r="P245" s="64">
        <f>INDEX('Allocator Summary'!K$8:K$26,MATCH($F245,'Allocator Summary'!$A$8:$A$28))*$E245</f>
        <v>0</v>
      </c>
      <c r="Q245" s="64">
        <f>INDEX('Allocator Summary'!L$8:L$28,MATCH($F245,'Allocator Summary'!$A$8:$A$28))*$E245</f>
        <v>0</v>
      </c>
      <c r="R245" s="64">
        <f t="shared" si="104"/>
        <v>0</v>
      </c>
      <c r="S245" s="64">
        <f t="shared" si="103"/>
        <v>0</v>
      </c>
    </row>
    <row r="246" spans="1:19" x14ac:dyDescent="0.25">
      <c r="A246" s="88"/>
      <c r="B246" s="89"/>
      <c r="C246" s="15" t="s">
        <v>8059</v>
      </c>
      <c r="E246" s="306">
        <f>+'COSS Step 1'!F224</f>
        <v>624</v>
      </c>
      <c r="F246" s="36">
        <v>3</v>
      </c>
      <c r="G246" t="str">
        <f>INDEX('Allocator Summary'!$B$8:$B$28,MATCH($F246,'Allocator Summary'!$A$8:$A$28))</f>
        <v>Fixed O&amp;M</v>
      </c>
      <c r="H246" s="64">
        <f>INDEX('Allocator Summary'!C$8:C$28,MATCH($F246,'Allocator Summary'!$A$8:$A$28))*$E246</f>
        <v>13.347839237763491</v>
      </c>
      <c r="I246" s="64">
        <f>INDEX('Allocator Summary'!D$8:D$28,MATCH($F246,'Allocator Summary'!$A$8:$A$28))*$E246</f>
        <v>110.14185091092594</v>
      </c>
      <c r="J246" s="64">
        <f>INDEX('Allocator Summary'!E$8:E$28,MATCH($F246,'Allocator Summary'!$A$8:$A$28))*$E246</f>
        <v>72.640523785867984</v>
      </c>
      <c r="K246" s="64">
        <f>INDEX('Allocator Summary'!F$8:F$28,MATCH($F246,'Allocator Summary'!$A$8:$A$28))*$E246</f>
        <v>37.403639021686303</v>
      </c>
      <c r="L246" s="64">
        <f>INDEX('Allocator Summary'!G$8:G$28,MATCH($F246,'Allocator Summary'!$A$8:$A$28))*$E246</f>
        <v>113.60981696436554</v>
      </c>
      <c r="M246" s="64">
        <f>INDEX('Allocator Summary'!H$8:H$28,MATCH($F246,'Allocator Summary'!$A$8:$A$28))*$E246</f>
        <v>0.66492291333023013</v>
      </c>
      <c r="N246" s="64">
        <f>INDEX('Allocator Summary'!I$8:I$28,MATCH($F246,'Allocator Summary'!$A$8:$A$28))*$E246</f>
        <v>12.562113913804222</v>
      </c>
      <c r="O246" s="64">
        <f>INDEX('Allocator Summary'!J$8:J$26,MATCH($F246,'Allocator Summary'!$A$8:$A$28))*$E246</f>
        <v>2.5384731286610696</v>
      </c>
      <c r="P246" s="64">
        <f>INDEX('Allocator Summary'!K$8:K$26,MATCH($F246,'Allocator Summary'!$A$8:$A$28))*$E246</f>
        <v>164.87458481371826</v>
      </c>
      <c r="Q246" s="64">
        <f>INDEX('Allocator Summary'!L$8:L$28,MATCH($F246,'Allocator Summary'!$A$8:$A$28))*$E246</f>
        <v>96.216235309876765</v>
      </c>
      <c r="R246" s="64">
        <f t="shared" si="104"/>
        <v>623.99999999999977</v>
      </c>
      <c r="S246" s="64">
        <f t="shared" si="103"/>
        <v>0</v>
      </c>
    </row>
    <row r="247" spans="1:19" x14ac:dyDescent="0.25">
      <c r="A247" s="88"/>
      <c r="B247" s="89"/>
      <c r="C247" s="15" t="s">
        <v>8061</v>
      </c>
      <c r="E247" s="306">
        <f>+'COSS Step 1'!F225</f>
        <v>20613</v>
      </c>
      <c r="F247" s="36">
        <v>3</v>
      </c>
      <c r="G247" t="str">
        <f>INDEX('Allocator Summary'!$B$8:$B$28,MATCH($F247,'Allocator Summary'!$A$8:$A$28))</f>
        <v>Fixed O&amp;M</v>
      </c>
      <c r="H247" s="64">
        <f>INDEX('Allocator Summary'!C$8:C$28,MATCH($F247,'Allocator Summary'!$A$8:$A$28))*$E247</f>
        <v>440.92790097438916</v>
      </c>
      <c r="I247" s="64">
        <f>INDEX('Allocator Summary'!D$8:D$28,MATCH($F247,'Allocator Summary'!$A$8:$A$28))*$E247</f>
        <v>3638.3877769662122</v>
      </c>
      <c r="J247" s="64">
        <f>INDEX('Allocator Summary'!E$8:E$28,MATCH($F247,'Allocator Summary'!$A$8:$A$28))*$E247</f>
        <v>2399.581917945668</v>
      </c>
      <c r="K247" s="64">
        <f>INDEX('Allocator Summary'!F$8:F$28,MATCH($F247,'Allocator Summary'!$A$8:$A$28))*$E247</f>
        <v>1235.5788640288779</v>
      </c>
      <c r="L247" s="64">
        <f>INDEX('Allocator Summary'!G$8:G$28,MATCH($F247,'Allocator Summary'!$A$8:$A$28))*$E247</f>
        <v>3752.9473671257483</v>
      </c>
      <c r="M247" s="64">
        <f>INDEX('Allocator Summary'!H$8:H$28,MATCH($F247,'Allocator Summary'!$A$8:$A$28))*$E247</f>
        <v>21.964833353326977</v>
      </c>
      <c r="N247" s="64">
        <f>INDEX('Allocator Summary'!I$8:I$28,MATCH($F247,'Allocator Summary'!$A$8:$A$28))*$E247</f>
        <v>414.97252260456156</v>
      </c>
      <c r="O247" s="64">
        <f>INDEX('Allocator Summary'!J$8:J$26,MATCH($F247,'Allocator Summary'!$A$8:$A$28))*$E247</f>
        <v>83.855042629952919</v>
      </c>
      <c r="P247" s="64">
        <f>INDEX('Allocator Summary'!K$8:K$26,MATCH($F247,'Allocator Summary'!$A$8:$A$28))*$E247</f>
        <v>5446.409962764702</v>
      </c>
      <c r="Q247" s="64">
        <f>INDEX('Allocator Summary'!L$8:L$28,MATCH($F247,'Allocator Summary'!$A$8:$A$28))*$E247</f>
        <v>3178.3738116065538</v>
      </c>
      <c r="R247" s="64">
        <f t="shared" si="104"/>
        <v>20612.999999999996</v>
      </c>
      <c r="S247" s="64">
        <f t="shared" si="103"/>
        <v>0</v>
      </c>
    </row>
    <row r="248" spans="1:19" x14ac:dyDescent="0.25">
      <c r="A248" s="88"/>
      <c r="B248" s="89"/>
      <c r="C248" s="15" t="s">
        <v>8063</v>
      </c>
      <c r="E248" s="306">
        <f>+'COSS Step 1'!F226</f>
        <v>0</v>
      </c>
      <c r="F248" s="36">
        <v>3</v>
      </c>
      <c r="G248" t="str">
        <f>INDEX('Allocator Summary'!$B$8:$B$28,MATCH($F248,'Allocator Summary'!$A$8:$A$28))</f>
        <v>Fixed O&amp;M</v>
      </c>
      <c r="H248" s="64">
        <f>INDEX('Allocator Summary'!C$8:C$28,MATCH($F248,'Allocator Summary'!$A$8:$A$28))*$E248</f>
        <v>0</v>
      </c>
      <c r="I248" s="64">
        <f>INDEX('Allocator Summary'!D$8:D$28,MATCH($F248,'Allocator Summary'!$A$8:$A$28))*$E248</f>
        <v>0</v>
      </c>
      <c r="J248" s="64">
        <f>INDEX('Allocator Summary'!E$8:E$28,MATCH($F248,'Allocator Summary'!$A$8:$A$28))*$E248</f>
        <v>0</v>
      </c>
      <c r="K248" s="64">
        <f>INDEX('Allocator Summary'!F$8:F$28,MATCH($F248,'Allocator Summary'!$A$8:$A$28))*$E248</f>
        <v>0</v>
      </c>
      <c r="L248" s="64">
        <f>INDEX('Allocator Summary'!G$8:G$28,MATCH($F248,'Allocator Summary'!$A$8:$A$28))*$E248</f>
        <v>0</v>
      </c>
      <c r="M248" s="64">
        <f>INDEX('Allocator Summary'!H$8:H$28,MATCH($F248,'Allocator Summary'!$A$8:$A$28))*$E248</f>
        <v>0</v>
      </c>
      <c r="N248" s="64">
        <f>INDEX('Allocator Summary'!I$8:I$28,MATCH($F248,'Allocator Summary'!$A$8:$A$28))*$E248</f>
        <v>0</v>
      </c>
      <c r="O248" s="64">
        <f>INDEX('Allocator Summary'!J$8:J$26,MATCH($F248,'Allocator Summary'!$A$8:$A$28))*$E248</f>
        <v>0</v>
      </c>
      <c r="P248" s="64">
        <f>INDEX('Allocator Summary'!K$8:K$26,MATCH($F248,'Allocator Summary'!$A$8:$A$28))*$E248</f>
        <v>0</v>
      </c>
      <c r="Q248" s="64">
        <f>INDEX('Allocator Summary'!L$8:L$28,MATCH($F248,'Allocator Summary'!$A$8:$A$28))*$E248</f>
        <v>0</v>
      </c>
      <c r="R248" s="64">
        <f t="shared" si="104"/>
        <v>0</v>
      </c>
      <c r="S248" s="64">
        <f t="shared" si="103"/>
        <v>0</v>
      </c>
    </row>
    <row r="249" spans="1:19" x14ac:dyDescent="0.25">
      <c r="A249" s="88"/>
      <c r="B249" s="89"/>
      <c r="C249" s="15" t="s">
        <v>8065</v>
      </c>
      <c r="E249" s="306">
        <f>+'COSS Step 1'!F227</f>
        <v>39552</v>
      </c>
      <c r="F249" s="36">
        <v>3</v>
      </c>
      <c r="G249" t="str">
        <f>INDEX('Allocator Summary'!$B$8:$B$28,MATCH($F249,'Allocator Summary'!$A$8:$A$28))</f>
        <v>Fixed O&amp;M</v>
      </c>
      <c r="H249" s="64">
        <f>INDEX('Allocator Summary'!C$8:C$28,MATCH($F249,'Allocator Summary'!$A$8:$A$28))*$E249</f>
        <v>846.04765630131658</v>
      </c>
      <c r="I249" s="64">
        <f>INDEX('Allocator Summary'!D$8:D$28,MATCH($F249,'Allocator Summary'!$A$8:$A$28))*$E249</f>
        <v>6981.2988577386905</v>
      </c>
      <c r="J249" s="64">
        <f>INDEX('Allocator Summary'!E$8:E$28,MATCH($F249,'Allocator Summary'!$A$8:$A$28))*$E249</f>
        <v>4604.2916615042477</v>
      </c>
      <c r="K249" s="64">
        <f>INDEX('Allocator Summary'!F$8:F$28,MATCH($F249,'Allocator Summary'!$A$8:$A$28))*$E249</f>
        <v>2370.8152733745778</v>
      </c>
      <c r="L249" s="64">
        <f>INDEX('Allocator Summary'!G$8:G$28,MATCH($F249,'Allocator Summary'!$A$8:$A$28))*$E249</f>
        <v>7201.1145522028619</v>
      </c>
      <c r="M249" s="64">
        <f>INDEX('Allocator Summary'!H$8:H$28,MATCH($F249,'Allocator Summary'!$A$8:$A$28))*$E249</f>
        <v>42.145883121854581</v>
      </c>
      <c r="N249" s="64">
        <f>INDEX('Allocator Summary'!I$8:I$28,MATCH($F249,'Allocator Summary'!$A$8:$A$28))*$E249</f>
        <v>796.24475884420599</v>
      </c>
      <c r="O249" s="64">
        <f>INDEX('Allocator Summary'!J$8:J$26,MATCH($F249,'Allocator Summary'!$A$8:$A$28))*$E249</f>
        <v>160.90014292436317</v>
      </c>
      <c r="P249" s="64">
        <f>INDEX('Allocator Summary'!K$8:K$26,MATCH($F249,'Allocator Summary'!$A$8:$A$28))*$E249</f>
        <v>10450.512145115679</v>
      </c>
      <c r="Q249" s="64">
        <f>INDEX('Allocator Summary'!L$8:L$28,MATCH($F249,'Allocator Summary'!$A$8:$A$28))*$E249</f>
        <v>6098.6290688721883</v>
      </c>
      <c r="R249" s="64">
        <f t="shared" si="104"/>
        <v>39551.999999999978</v>
      </c>
      <c r="S249" s="64">
        <f t="shared" si="103"/>
        <v>0</v>
      </c>
    </row>
    <row r="250" spans="1:19" x14ac:dyDescent="0.25">
      <c r="A250" s="88"/>
      <c r="B250" s="89"/>
      <c r="C250" s="15" t="s">
        <v>8067</v>
      </c>
      <c r="E250" s="306">
        <f>+'COSS Step 1'!F228</f>
        <v>903201</v>
      </c>
      <c r="F250" s="36">
        <v>3</v>
      </c>
      <c r="G250" t="str">
        <f>INDEX('Allocator Summary'!$B$8:$B$28,MATCH($F250,'Allocator Summary'!$A$8:$A$28))</f>
        <v>Fixed O&amp;M</v>
      </c>
      <c r="H250" s="64">
        <f>INDEX('Allocator Summary'!C$8:C$28,MATCH($F250,'Allocator Summary'!$A$8:$A$28))*$E250</f>
        <v>19320.163056710291</v>
      </c>
      <c r="I250" s="64">
        <f>INDEX('Allocator Summary'!D$8:D$28,MATCH($F250,'Allocator Summary'!$A$8:$A$28))*$E250</f>
        <v>159423.44532788335</v>
      </c>
      <c r="J250" s="64">
        <f>INDEX('Allocator Summary'!E$8:E$28,MATCH($F250,'Allocator Summary'!$A$8:$A$28))*$E250</f>
        <v>105142.61814730729</v>
      </c>
      <c r="K250" s="64">
        <f>INDEX('Allocator Summary'!F$8:F$28,MATCH($F250,'Allocator Summary'!$A$8:$A$28))*$E250</f>
        <v>54139.429756452068</v>
      </c>
      <c r="L250" s="64">
        <f>INDEX('Allocator Summary'!G$8:G$28,MATCH($F250,'Allocator Summary'!$A$8:$A$28))*$E250</f>
        <v>164443.10944235884</v>
      </c>
      <c r="M250" s="64">
        <f>INDEX('Allocator Summary'!H$8:H$28,MATCH($F250,'Allocator Summary'!$A$8:$A$28))*$E250</f>
        <v>962.43435936342485</v>
      </c>
      <c r="N250" s="64">
        <f>INDEX('Allocator Summary'!I$8:I$28,MATCH($F250,'Allocator Summary'!$A$8:$A$28))*$E250</f>
        <v>18182.874758111997</v>
      </c>
      <c r="O250" s="64">
        <f>INDEX('Allocator Summary'!J$8:J$26,MATCH($F250,'Allocator Summary'!$A$8:$A$28))*$E250</f>
        <v>3674.2811991663566</v>
      </c>
      <c r="P250" s="64">
        <f>INDEX('Allocator Summary'!K$8:K$26,MATCH($F250,'Allocator Summary'!$A$8:$A$28))*$E250</f>
        <v>238645.6568563063</v>
      </c>
      <c r="Q250" s="64">
        <f>INDEX('Allocator Summary'!L$8:L$28,MATCH($F250,'Allocator Summary'!$A$8:$A$28))*$E250</f>
        <v>139266.98709633976</v>
      </c>
      <c r="R250" s="64">
        <f t="shared" si="104"/>
        <v>903200.99999999953</v>
      </c>
      <c r="S250" s="64">
        <f t="shared" si="103"/>
        <v>0</v>
      </c>
    </row>
    <row r="251" spans="1:19" x14ac:dyDescent="0.25">
      <c r="A251" s="88"/>
      <c r="B251" s="89"/>
      <c r="C251" s="15" t="s">
        <v>8069</v>
      </c>
      <c r="E251" s="306">
        <f>+'COSS Step 1'!F229</f>
        <v>1113184</v>
      </c>
      <c r="F251" s="36">
        <v>3</v>
      </c>
      <c r="G251" t="str">
        <f>INDEX('Allocator Summary'!$B$8:$B$28,MATCH($F251,'Allocator Summary'!$A$8:$A$28))</f>
        <v>Fixed O&amp;M</v>
      </c>
      <c r="H251" s="64">
        <f>INDEX('Allocator Summary'!C$8:C$28,MATCH($F251,'Allocator Summary'!$A$8:$A$28))*$E251</f>
        <v>23811.860695593772</v>
      </c>
      <c r="I251" s="64">
        <f>INDEX('Allocator Summary'!D$8:D$28,MATCH($F251,'Allocator Summary'!$A$8:$A$28))*$E251</f>
        <v>196487.41372504516</v>
      </c>
      <c r="J251" s="64">
        <f>INDEX('Allocator Summary'!E$8:E$28,MATCH($F251,'Allocator Summary'!$A$8:$A$28))*$E251</f>
        <v>129586.96927892254</v>
      </c>
      <c r="K251" s="64">
        <f>INDEX('Allocator Summary'!F$8:F$28,MATCH($F251,'Allocator Summary'!$A$8:$A$28))*$E251</f>
        <v>66726.173879353926</v>
      </c>
      <c r="L251" s="64">
        <f>INDEX('Allocator Summary'!G$8:G$28,MATCH($F251,'Allocator Summary'!$A$8:$A$28))*$E251</f>
        <v>202674.08731996841</v>
      </c>
      <c r="M251" s="64">
        <f>INDEX('Allocator Summary'!H$8:H$28,MATCH($F251,'Allocator Summary'!$A$8:$A$28))*$E251</f>
        <v>1186.1883787701904</v>
      </c>
      <c r="N251" s="64">
        <f>INDEX('Allocator Summary'!I$8:I$28,MATCH($F251,'Allocator Summary'!$A$8:$A$28))*$E251</f>
        <v>22410.167011256792</v>
      </c>
      <c r="O251" s="64">
        <f>INDEX('Allocator Summary'!J$8:J$26,MATCH($F251,'Allocator Summary'!$A$8:$A$28))*$E251</f>
        <v>4528.5058834221854</v>
      </c>
      <c r="P251" s="64">
        <f>INDEX('Allocator Summary'!K$8:K$26,MATCH($F251,'Allocator Summary'!$A$8:$A$28))*$E251</f>
        <v>294127.80420075986</v>
      </c>
      <c r="Q251" s="64">
        <f>INDEX('Allocator Summary'!L$8:L$28,MATCH($F251,'Allocator Summary'!$A$8:$A$28))*$E251</f>
        <v>171644.82962690681</v>
      </c>
      <c r="R251" s="64">
        <f t="shared" si="104"/>
        <v>1113183.9999999995</v>
      </c>
      <c r="S251" s="64">
        <f t="shared" si="103"/>
        <v>0</v>
      </c>
    </row>
    <row r="252" spans="1:19" x14ac:dyDescent="0.25">
      <c r="A252" s="88"/>
      <c r="B252" s="89"/>
      <c r="C252" s="15" t="s">
        <v>8071</v>
      </c>
      <c r="E252" s="306">
        <f>+'COSS Step 1'!F230</f>
        <v>0</v>
      </c>
      <c r="F252" s="36">
        <v>3</v>
      </c>
      <c r="G252" t="str">
        <f>INDEX('Allocator Summary'!$B$8:$B$28,MATCH($F252,'Allocator Summary'!$A$8:$A$28))</f>
        <v>Fixed O&amp;M</v>
      </c>
      <c r="H252" s="64">
        <f>INDEX('Allocator Summary'!C$8:C$28,MATCH($F252,'Allocator Summary'!$A$8:$A$28))*$E252</f>
        <v>0</v>
      </c>
      <c r="I252" s="64">
        <f>INDEX('Allocator Summary'!D$8:D$28,MATCH($F252,'Allocator Summary'!$A$8:$A$28))*$E252</f>
        <v>0</v>
      </c>
      <c r="J252" s="64">
        <f>INDEX('Allocator Summary'!E$8:E$28,MATCH($F252,'Allocator Summary'!$A$8:$A$28))*$E252</f>
        <v>0</v>
      </c>
      <c r="K252" s="64">
        <f>INDEX('Allocator Summary'!F$8:F$28,MATCH($F252,'Allocator Summary'!$A$8:$A$28))*$E252</f>
        <v>0</v>
      </c>
      <c r="L252" s="64">
        <f>INDEX('Allocator Summary'!G$8:G$28,MATCH($F252,'Allocator Summary'!$A$8:$A$28))*$E252</f>
        <v>0</v>
      </c>
      <c r="M252" s="64">
        <f>INDEX('Allocator Summary'!H$8:H$28,MATCH($F252,'Allocator Summary'!$A$8:$A$28))*$E252</f>
        <v>0</v>
      </c>
      <c r="N252" s="64">
        <f>INDEX('Allocator Summary'!I$8:I$28,MATCH($F252,'Allocator Summary'!$A$8:$A$28))*$E252</f>
        <v>0</v>
      </c>
      <c r="O252" s="64">
        <f>INDEX('Allocator Summary'!J$8:J$26,MATCH($F252,'Allocator Summary'!$A$8:$A$28))*$E252</f>
        <v>0</v>
      </c>
      <c r="P252" s="64">
        <f>INDEX('Allocator Summary'!K$8:K$26,MATCH($F252,'Allocator Summary'!$A$8:$A$28))*$E252</f>
        <v>0</v>
      </c>
      <c r="Q252" s="64">
        <f>INDEX('Allocator Summary'!L$8:L$28,MATCH($F252,'Allocator Summary'!$A$8:$A$28))*$E252</f>
        <v>0</v>
      </c>
      <c r="R252" s="64">
        <f t="shared" si="104"/>
        <v>0</v>
      </c>
      <c r="S252" s="64">
        <f t="shared" si="103"/>
        <v>0</v>
      </c>
    </row>
    <row r="253" spans="1:19" x14ac:dyDescent="0.25">
      <c r="A253" s="88"/>
      <c r="B253" s="89"/>
      <c r="C253" s="15" t="s">
        <v>8073</v>
      </c>
      <c r="E253" s="306">
        <f>+'COSS Step 1'!F231</f>
        <v>0</v>
      </c>
      <c r="F253" s="36">
        <v>3</v>
      </c>
      <c r="G253" t="str">
        <f>INDEX('Allocator Summary'!$B$8:$B$28,MATCH($F253,'Allocator Summary'!$A$8:$A$28))</f>
        <v>Fixed O&amp;M</v>
      </c>
      <c r="H253" s="64">
        <f>INDEX('Allocator Summary'!C$8:C$28,MATCH($F253,'Allocator Summary'!$A$8:$A$28))*$E253</f>
        <v>0</v>
      </c>
      <c r="I253" s="64">
        <f>INDEX('Allocator Summary'!D$8:D$28,MATCH($F253,'Allocator Summary'!$A$8:$A$28))*$E253</f>
        <v>0</v>
      </c>
      <c r="J253" s="64">
        <f>INDEX('Allocator Summary'!E$8:E$28,MATCH($F253,'Allocator Summary'!$A$8:$A$28))*$E253</f>
        <v>0</v>
      </c>
      <c r="K253" s="64">
        <f>INDEX('Allocator Summary'!F$8:F$28,MATCH($F253,'Allocator Summary'!$A$8:$A$28))*$E253</f>
        <v>0</v>
      </c>
      <c r="L253" s="64">
        <f>INDEX('Allocator Summary'!G$8:G$28,MATCH($F253,'Allocator Summary'!$A$8:$A$28))*$E253</f>
        <v>0</v>
      </c>
      <c r="M253" s="64">
        <f>INDEX('Allocator Summary'!H$8:H$28,MATCH($F253,'Allocator Summary'!$A$8:$A$28))*$E253</f>
        <v>0</v>
      </c>
      <c r="N253" s="64">
        <f>INDEX('Allocator Summary'!I$8:I$28,MATCH($F253,'Allocator Summary'!$A$8:$A$28))*$E253</f>
        <v>0</v>
      </c>
      <c r="O253" s="64">
        <f>INDEX('Allocator Summary'!J$8:J$26,MATCH($F253,'Allocator Summary'!$A$8:$A$28))*$E253</f>
        <v>0</v>
      </c>
      <c r="P253" s="64">
        <f>INDEX('Allocator Summary'!K$8:K$26,MATCH($F253,'Allocator Summary'!$A$8:$A$28))*$E253</f>
        <v>0</v>
      </c>
      <c r="Q253" s="64">
        <f>INDEX('Allocator Summary'!L$8:L$28,MATCH($F253,'Allocator Summary'!$A$8:$A$28))*$E253</f>
        <v>0</v>
      </c>
      <c r="R253" s="64">
        <f t="shared" si="104"/>
        <v>0</v>
      </c>
      <c r="S253" s="64">
        <f t="shared" si="103"/>
        <v>0</v>
      </c>
    </row>
    <row r="254" spans="1:19" x14ac:dyDescent="0.25">
      <c r="A254" s="88"/>
      <c r="B254" s="89"/>
      <c r="C254" s="15" t="s">
        <v>8075</v>
      </c>
      <c r="E254" s="306">
        <f>+'COSS Step 1'!F232</f>
        <v>345954</v>
      </c>
      <c r="F254" s="36">
        <v>3</v>
      </c>
      <c r="G254" t="str">
        <f>INDEX('Allocator Summary'!$B$8:$B$28,MATCH($F254,'Allocator Summary'!$A$8:$A$28))</f>
        <v>Fixed O&amp;M</v>
      </c>
      <c r="H254" s="64">
        <f>INDEX('Allocator Summary'!C$8:C$28,MATCH($F254,'Allocator Summary'!$A$8:$A$28))*$E254</f>
        <v>7400.2217558673565</v>
      </c>
      <c r="I254" s="64">
        <f>INDEX('Allocator Summary'!D$8:D$28,MATCH($F254,'Allocator Summary'!$A$8:$A$28))*$E254</f>
        <v>61064.124823779603</v>
      </c>
      <c r="J254" s="64">
        <f>INDEX('Allocator Summary'!E$8:E$28,MATCH($F254,'Allocator Summary'!$A$8:$A$28))*$E254</f>
        <v>40272.884240090018</v>
      </c>
      <c r="K254" s="64">
        <f>INDEX('Allocator Summary'!F$8:F$28,MATCH($F254,'Allocator Summary'!$A$8:$A$28))*$E254</f>
        <v>20737.080984148179</v>
      </c>
      <c r="L254" s="64">
        <f>INDEX('Allocator Summary'!G$8:G$28,MATCH($F254,'Allocator Summary'!$A$8:$A$28))*$E254</f>
        <v>62986.811887964934</v>
      </c>
      <c r="M254" s="64">
        <f>INDEX('Allocator Summary'!H$8:H$28,MATCH($F254,'Allocator Summary'!$A$8:$A$28))*$E254</f>
        <v>368.64221403565131</v>
      </c>
      <c r="N254" s="64">
        <f>INDEX('Allocator Summary'!I$8:I$28,MATCH($F254,'Allocator Summary'!$A$8:$A$28))*$E254</f>
        <v>6964.6050591926687</v>
      </c>
      <c r="O254" s="64">
        <f>INDEX('Allocator Summary'!J$8:J$26,MATCH($F254,'Allocator Summary'!$A$8:$A$28))*$E254</f>
        <v>1407.3636742833519</v>
      </c>
      <c r="P254" s="64">
        <f>INDEX('Allocator Summary'!K$8:K$26,MATCH($F254,'Allocator Summary'!$A$8:$A$28))*$E254</f>
        <v>91408.689286290202</v>
      </c>
      <c r="Q254" s="64">
        <f>INDEX('Allocator Summary'!L$8:L$28,MATCH($F254,'Allocator Summary'!$A$8:$A$28))*$E254</f>
        <v>53343.576074347926</v>
      </c>
      <c r="R254" s="64">
        <f t="shared" si="104"/>
        <v>345953.99999999988</v>
      </c>
      <c r="S254" s="64">
        <f t="shared" si="103"/>
        <v>0</v>
      </c>
    </row>
    <row r="255" spans="1:19" x14ac:dyDescent="0.25">
      <c r="A255" s="88"/>
      <c r="B255" s="89"/>
      <c r="C255" s="15" t="s">
        <v>8077</v>
      </c>
      <c r="E255" s="306">
        <f>+'COSS Step 1'!F233</f>
        <v>0</v>
      </c>
      <c r="F255" s="36">
        <v>3</v>
      </c>
      <c r="G255" t="str">
        <f>INDEX('Allocator Summary'!$B$8:$B$28,MATCH($F255,'Allocator Summary'!$A$8:$A$28))</f>
        <v>Fixed O&amp;M</v>
      </c>
      <c r="H255" s="64">
        <f>INDEX('Allocator Summary'!C$8:C$28,MATCH($F255,'Allocator Summary'!$A$8:$A$28))*$E255</f>
        <v>0</v>
      </c>
      <c r="I255" s="64">
        <f>INDEX('Allocator Summary'!D$8:D$28,MATCH($F255,'Allocator Summary'!$A$8:$A$28))*$E255</f>
        <v>0</v>
      </c>
      <c r="J255" s="64">
        <f>INDEX('Allocator Summary'!E$8:E$28,MATCH($F255,'Allocator Summary'!$A$8:$A$28))*$E255</f>
        <v>0</v>
      </c>
      <c r="K255" s="64">
        <f>INDEX('Allocator Summary'!F$8:F$28,MATCH($F255,'Allocator Summary'!$A$8:$A$28))*$E255</f>
        <v>0</v>
      </c>
      <c r="L255" s="64">
        <f>INDEX('Allocator Summary'!G$8:G$28,MATCH($F255,'Allocator Summary'!$A$8:$A$28))*$E255</f>
        <v>0</v>
      </c>
      <c r="M255" s="64">
        <f>INDEX('Allocator Summary'!H$8:H$28,MATCH($F255,'Allocator Summary'!$A$8:$A$28))*$E255</f>
        <v>0</v>
      </c>
      <c r="N255" s="64">
        <f>INDEX('Allocator Summary'!I$8:I$28,MATCH($F255,'Allocator Summary'!$A$8:$A$28))*$E255</f>
        <v>0</v>
      </c>
      <c r="O255" s="64">
        <f>INDEX('Allocator Summary'!J$8:J$26,MATCH($F255,'Allocator Summary'!$A$8:$A$28))*$E255</f>
        <v>0</v>
      </c>
      <c r="P255" s="64">
        <f>INDEX('Allocator Summary'!K$8:K$26,MATCH($F255,'Allocator Summary'!$A$8:$A$28))*$E255</f>
        <v>0</v>
      </c>
      <c r="Q255" s="64">
        <f>INDEX('Allocator Summary'!L$8:L$28,MATCH($F255,'Allocator Summary'!$A$8:$A$28))*$E255</f>
        <v>0</v>
      </c>
      <c r="R255" s="64">
        <f t="shared" si="104"/>
        <v>0</v>
      </c>
      <c r="S255" s="64">
        <f t="shared" si="103"/>
        <v>0</v>
      </c>
    </row>
    <row r="256" spans="1:19" x14ac:dyDescent="0.25">
      <c r="A256" s="88"/>
      <c r="B256" s="89"/>
      <c r="C256" s="15" t="s">
        <v>8079</v>
      </c>
      <c r="E256" s="306">
        <f>+'COSS Step 1'!F234</f>
        <v>25812</v>
      </c>
      <c r="F256" s="36">
        <v>3</v>
      </c>
      <c r="G256" t="str">
        <f>INDEX('Allocator Summary'!$B$8:$B$28,MATCH($F256,'Allocator Summary'!$A$8:$A$28))</f>
        <v>Fixed O&amp;M</v>
      </c>
      <c r="H256" s="64">
        <f>INDEX('Allocator Summary'!C$8:C$28,MATCH($F256,'Allocator Summary'!$A$8:$A$28))*$E256</f>
        <v>552.13850385440901</v>
      </c>
      <c r="I256" s="64">
        <f>INDEX('Allocator Summary'!D$8:D$28,MATCH($F256,'Allocator Summary'!$A$8:$A$28))*$E256</f>
        <v>4556.0600251808019</v>
      </c>
      <c r="J256" s="64">
        <f>INDEX('Allocator Summary'!E$8:E$28,MATCH($F256,'Allocator Summary'!$A$8:$A$28))*$E256</f>
        <v>3004.8032050654238</v>
      </c>
      <c r="K256" s="64">
        <f>INDEX('Allocator Summary'!F$8:F$28,MATCH($F256,'Allocator Summary'!$A$8:$A$28))*$E256</f>
        <v>1547.2159141470622</v>
      </c>
      <c r="L256" s="64">
        <f>INDEX('Allocator Summary'!G$8:G$28,MATCH($F256,'Allocator Summary'!$A$8:$A$28))*$E256</f>
        <v>4699.5137748144289</v>
      </c>
      <c r="M256" s="64">
        <f>INDEX('Allocator Summary'!H$8:H$28,MATCH($F256,'Allocator Summary'!$A$8:$A$28))*$E256</f>
        <v>27.504792049487019</v>
      </c>
      <c r="N256" s="64">
        <f>INDEX('Allocator Summary'!I$8:I$28,MATCH($F256,'Allocator Summary'!$A$8:$A$28))*$E256</f>
        <v>519.63667362678609</v>
      </c>
      <c r="O256" s="64">
        <f>INDEX('Allocator Summary'!J$8:J$26,MATCH($F256,'Allocator Summary'!$A$8:$A$28))*$E256</f>
        <v>105.00491730288385</v>
      </c>
      <c r="P256" s="64">
        <f>INDEX('Allocator Summary'!K$8:K$26,MATCH($F256,'Allocator Summary'!$A$8:$A$28))*$E256</f>
        <v>6820.1006141213065</v>
      </c>
      <c r="Q256" s="64">
        <f>INDEX('Allocator Summary'!L$8:L$28,MATCH($F256,'Allocator Summary'!$A$8:$A$28))*$E256</f>
        <v>3980.021579837402</v>
      </c>
      <c r="R256" s="64">
        <f t="shared" si="104"/>
        <v>25811.999999999993</v>
      </c>
      <c r="S256" s="64">
        <f t="shared" si="103"/>
        <v>0</v>
      </c>
    </row>
    <row r="257" spans="1:19" x14ac:dyDescent="0.25">
      <c r="A257" s="88"/>
      <c r="B257" s="89"/>
      <c r="C257" s="15" t="s">
        <v>8081</v>
      </c>
      <c r="E257" s="306">
        <f>+'COSS Step 1'!F235</f>
        <v>207929</v>
      </c>
      <c r="F257" s="36">
        <v>3</v>
      </c>
      <c r="G257" t="str">
        <f>INDEX('Allocator Summary'!$B$8:$B$28,MATCH($F257,'Allocator Summary'!$A$8:$A$28))</f>
        <v>Fixed O&amp;M</v>
      </c>
      <c r="H257" s="64">
        <f>INDEX('Allocator Summary'!C$8:C$28,MATCH($F257,'Allocator Summary'!$A$8:$A$28))*$E257</f>
        <v>4447.7610013925078</v>
      </c>
      <c r="I257" s="64">
        <f>INDEX('Allocator Summary'!D$8:D$28,MATCH($F257,'Allocator Summary'!$A$8:$A$28))*$E257</f>
        <v>36701.41813791333</v>
      </c>
      <c r="J257" s="64">
        <f>INDEX('Allocator Summary'!E$8:E$28,MATCH($F257,'Allocator Summary'!$A$8:$A$28))*$E257</f>
        <v>24205.242740820104</v>
      </c>
      <c r="K257" s="64">
        <f>INDEX('Allocator Summary'!F$8:F$28,MATCH($F257,'Allocator Summary'!$A$8:$A$28))*$E257</f>
        <v>12463.623811122134</v>
      </c>
      <c r="L257" s="64">
        <f>INDEX('Allocator Summary'!G$8:G$28,MATCH($F257,'Allocator Summary'!$A$8:$A$28))*$E257</f>
        <v>37857.012230101864</v>
      </c>
      <c r="M257" s="64">
        <f>INDEX('Allocator Summary'!H$8:H$28,MATCH($F257,'Allocator Summary'!$A$8:$A$28))*$E257</f>
        <v>221.56531481705355</v>
      </c>
      <c r="N257" s="64">
        <f>INDEX('Allocator Summary'!I$8:I$28,MATCH($F257,'Allocator Summary'!$A$8:$A$28))*$E257</f>
        <v>4185.9419615118559</v>
      </c>
      <c r="O257" s="64">
        <f>INDEX('Allocator Summary'!J$8:J$26,MATCH($F257,'Allocator Summary'!$A$8:$A$28))*$E257</f>
        <v>845.86887687398632</v>
      </c>
      <c r="P257" s="64">
        <f>INDEX('Allocator Summary'!K$8:K$26,MATCH($F257,'Allocator Summary'!$A$8:$A$28))*$E257</f>
        <v>54939.435169441698</v>
      </c>
      <c r="Q257" s="64">
        <f>INDEX('Allocator Summary'!L$8:L$28,MATCH($F257,'Allocator Summary'!$A$8:$A$28))*$E257</f>
        <v>32061.13075600539</v>
      </c>
      <c r="R257" s="64">
        <f t="shared" si="104"/>
        <v>207928.99999999991</v>
      </c>
      <c r="S257" s="64">
        <f t="shared" si="103"/>
        <v>0</v>
      </c>
    </row>
    <row r="258" spans="1:19" x14ac:dyDescent="0.25">
      <c r="A258" s="88"/>
      <c r="B258" s="89"/>
      <c r="C258" s="15" t="s">
        <v>8083</v>
      </c>
      <c r="E258" s="306">
        <f>+'COSS Step 1'!F236</f>
        <v>72240</v>
      </c>
      <c r="F258" s="36">
        <v>3</v>
      </c>
      <c r="G258" t="str">
        <f>INDEX('Allocator Summary'!$B$8:$B$28,MATCH($F258,'Allocator Summary'!$A$8:$A$28))</f>
        <v>Fixed O&amp;M</v>
      </c>
      <c r="H258" s="64">
        <f>INDEX('Allocator Summary'!C$8:C$28,MATCH($F258,'Allocator Summary'!$A$8:$A$28))*$E258</f>
        <v>1545.2690809872349</v>
      </c>
      <c r="I258" s="64">
        <f>INDEX('Allocator Summary'!D$8:D$28,MATCH($F258,'Allocator Summary'!$A$8:$A$28))*$E258</f>
        <v>12751.037355457194</v>
      </c>
      <c r="J258" s="64">
        <f>INDEX('Allocator Summary'!E$8:E$28,MATCH($F258,'Allocator Summary'!$A$8:$A$28))*$E258</f>
        <v>8409.537561363948</v>
      </c>
      <c r="K258" s="64">
        <f>INDEX('Allocator Summary'!F$8:F$28,MATCH($F258,'Allocator Summary'!$A$8:$A$28))*$E258</f>
        <v>4330.1905175106067</v>
      </c>
      <c r="L258" s="64">
        <f>INDEX('Allocator Summary'!G$8:G$28,MATCH($F258,'Allocator Summary'!$A$8:$A$28))*$E258</f>
        <v>13152.521117797703</v>
      </c>
      <c r="M258" s="64">
        <f>INDEX('Allocator Summary'!H$8:H$28,MATCH($F258,'Allocator Summary'!$A$8:$A$28))*$E258</f>
        <v>76.977614197076633</v>
      </c>
      <c r="N258" s="64">
        <f>INDEX('Allocator Summary'!I$8:I$28,MATCH($F258,'Allocator Summary'!$A$8:$A$28))*$E258</f>
        <v>1454.3062646365656</v>
      </c>
      <c r="O258" s="64">
        <f>INDEX('Allocator Summary'!J$8:J$26,MATCH($F258,'Allocator Summary'!$A$8:$A$28))*$E258</f>
        <v>293.87708143345458</v>
      </c>
      <c r="P258" s="64">
        <f>INDEX('Allocator Summary'!K$8:K$26,MATCH($F258,'Allocator Summary'!$A$8:$A$28))*$E258</f>
        <v>19087.40385728046</v>
      </c>
      <c r="Q258" s="64">
        <f>INDEX('Allocator Summary'!L$8:L$28,MATCH($F258,'Allocator Summary'!$A$8:$A$28))*$E258</f>
        <v>11138.879549335732</v>
      </c>
      <c r="R258" s="64">
        <f t="shared" si="104"/>
        <v>72239.999999999985</v>
      </c>
      <c r="S258" s="64">
        <f t="shared" si="103"/>
        <v>0</v>
      </c>
    </row>
    <row r="259" spans="1:19" x14ac:dyDescent="0.25">
      <c r="A259" s="88"/>
      <c r="B259" s="89"/>
      <c r="C259" s="15" t="s">
        <v>8085</v>
      </c>
      <c r="E259" s="306">
        <f>+'COSS Step 1'!F237</f>
        <v>2444</v>
      </c>
      <c r="F259" s="36">
        <v>3</v>
      </c>
      <c r="G259" t="str">
        <f>INDEX('Allocator Summary'!$B$8:$B$28,MATCH($F259,'Allocator Summary'!$A$8:$A$28))</f>
        <v>Fixed O&amp;M</v>
      </c>
      <c r="H259" s="64">
        <f>INDEX('Allocator Summary'!C$8:C$28,MATCH($F259,'Allocator Summary'!$A$8:$A$28))*$E259</f>
        <v>52.279037014573667</v>
      </c>
      <c r="I259" s="64">
        <f>INDEX('Allocator Summary'!D$8:D$28,MATCH($F259,'Allocator Summary'!$A$8:$A$28))*$E259</f>
        <v>431.38891606779328</v>
      </c>
      <c r="J259" s="64">
        <f>INDEX('Allocator Summary'!E$8:E$28,MATCH($F259,'Allocator Summary'!$A$8:$A$28))*$E259</f>
        <v>284.50871816131627</v>
      </c>
      <c r="K259" s="64">
        <f>INDEX('Allocator Summary'!F$8:F$28,MATCH($F259,'Allocator Summary'!$A$8:$A$28))*$E259</f>
        <v>146.49758616827137</v>
      </c>
      <c r="L259" s="64">
        <f>INDEX('Allocator Summary'!G$8:G$28,MATCH($F259,'Allocator Summary'!$A$8:$A$28))*$E259</f>
        <v>444.97178311043172</v>
      </c>
      <c r="M259" s="64">
        <f>INDEX('Allocator Summary'!H$8:H$28,MATCH($F259,'Allocator Summary'!$A$8:$A$28))*$E259</f>
        <v>2.6042814105434013</v>
      </c>
      <c r="N259" s="64">
        <f>INDEX('Allocator Summary'!I$8:I$28,MATCH($F259,'Allocator Summary'!$A$8:$A$28))*$E259</f>
        <v>49.201612829066534</v>
      </c>
      <c r="O259" s="64">
        <f>INDEX('Allocator Summary'!J$8:J$26,MATCH($F259,'Allocator Summary'!$A$8:$A$28))*$E259</f>
        <v>9.9423530872558548</v>
      </c>
      <c r="P259" s="64">
        <f>INDEX('Allocator Summary'!K$8:K$26,MATCH($F259,'Allocator Summary'!$A$8:$A$28))*$E259</f>
        <v>645.75879052039647</v>
      </c>
      <c r="Q259" s="64">
        <f>INDEX('Allocator Summary'!L$8:L$28,MATCH($F259,'Allocator Summary'!$A$8:$A$28))*$E259</f>
        <v>376.84692163035066</v>
      </c>
      <c r="R259" s="64">
        <f t="shared" si="104"/>
        <v>2443.9999999999991</v>
      </c>
      <c r="S259" s="64">
        <f t="shared" si="103"/>
        <v>0</v>
      </c>
    </row>
    <row r="260" spans="1:19" x14ac:dyDescent="0.25">
      <c r="A260" s="88"/>
      <c r="B260" s="89"/>
      <c r="C260" s="15" t="s">
        <v>8087</v>
      </c>
      <c r="E260" s="306">
        <f>+'COSS Step 1'!F238</f>
        <v>17682</v>
      </c>
      <c r="F260" s="36">
        <v>3</v>
      </c>
      <c r="G260" t="str">
        <f>INDEX('Allocator Summary'!$B$8:$B$28,MATCH($F260,'Allocator Summary'!$A$8:$A$28))</f>
        <v>Fixed O&amp;M</v>
      </c>
      <c r="H260" s="64">
        <f>INDEX('Allocator Summary'!C$8:C$28,MATCH($F260,'Allocator Summary'!$A$8:$A$28))*$E260</f>
        <v>378.23155993931738</v>
      </c>
      <c r="I260" s="64">
        <f>INDEX('Allocator Summary'!D$8:D$28,MATCH($F260,'Allocator Summary'!$A$8:$A$28))*$E260</f>
        <v>3121.038794562488</v>
      </c>
      <c r="J260" s="64">
        <f>INDEX('Allocator Summary'!E$8:E$28,MATCH($F260,'Allocator Summary'!$A$8:$A$28))*$E260</f>
        <v>2058.3809961245474</v>
      </c>
      <c r="K260" s="64">
        <f>INDEX('Allocator Summary'!F$8:F$28,MATCH($F260,'Allocator Summary'!$A$8:$A$28))*$E260</f>
        <v>1059.8896557395149</v>
      </c>
      <c r="L260" s="64">
        <f>INDEX('Allocator Summary'!G$8:G$28,MATCH($F260,'Allocator Summary'!$A$8:$A$28))*$E260</f>
        <v>3219.3089480190888</v>
      </c>
      <c r="M260" s="64">
        <f>INDEX('Allocator Summary'!H$8:H$28,MATCH($F260,'Allocator Summary'!$A$8:$A$28))*$E260</f>
        <v>18.841613707540269</v>
      </c>
      <c r="N260" s="64">
        <f>INDEX('Allocator Summary'!I$8:I$28,MATCH($F260,'Allocator Summary'!$A$8:$A$28))*$E260</f>
        <v>355.96682407674075</v>
      </c>
      <c r="O260" s="64">
        <f>INDEX('Allocator Summary'!J$8:J$26,MATCH($F260,'Allocator Summary'!$A$8:$A$28))*$E260</f>
        <v>71.93154144388626</v>
      </c>
      <c r="P260" s="64">
        <f>INDEX('Allocator Summary'!K$8:K$26,MATCH($F260,'Allocator Summary'!$A$8:$A$28))*$E260</f>
        <v>4671.9750139041125</v>
      </c>
      <c r="Q260" s="64">
        <f>INDEX('Allocator Summary'!L$8:L$28,MATCH($F260,'Allocator Summary'!$A$8:$A$28))*$E260</f>
        <v>2726.4350524827578</v>
      </c>
      <c r="R260" s="64">
        <f t="shared" si="104"/>
        <v>17681.999999999993</v>
      </c>
      <c r="S260" s="64">
        <f t="shared" si="103"/>
        <v>0</v>
      </c>
    </row>
    <row r="261" spans="1:19" x14ac:dyDescent="0.25">
      <c r="A261" s="88"/>
      <c r="B261" s="89"/>
      <c r="C261" s="15" t="s">
        <v>8089</v>
      </c>
      <c r="E261" s="306">
        <f>+'COSS Step 1'!F239</f>
        <v>1006</v>
      </c>
      <c r="F261" s="36">
        <v>3</v>
      </c>
      <c r="G261" t="str">
        <f>INDEX('Allocator Summary'!$B$8:$B$28,MATCH($F261,'Allocator Summary'!$A$8:$A$28))</f>
        <v>Fixed O&amp;M</v>
      </c>
      <c r="H261" s="64">
        <f>INDEX('Allocator Summary'!C$8:C$28,MATCH($F261,'Allocator Summary'!$A$8:$A$28))*$E261</f>
        <v>21.519112617291782</v>
      </c>
      <c r="I261" s="64">
        <f>INDEX('Allocator Summary'!D$8:D$28,MATCH($F261,'Allocator Summary'!$A$8:$A$28))*$E261</f>
        <v>177.5684327185761</v>
      </c>
      <c r="J261" s="64">
        <f>INDEX('Allocator Summary'!E$8:E$28,MATCH($F261,'Allocator Summary'!$A$8:$A$28))*$E261</f>
        <v>117.10956238554999</v>
      </c>
      <c r="K261" s="64">
        <f>INDEX('Allocator Summary'!F$8:F$28,MATCH($F261,'Allocator Summary'!$A$8:$A$28))*$E261</f>
        <v>60.301379576628882</v>
      </c>
      <c r="L261" s="64">
        <f>INDEX('Allocator Summary'!G$8:G$28,MATCH($F261,'Allocator Summary'!$A$8:$A$28))*$E261</f>
        <v>183.15941645216625</v>
      </c>
      <c r="M261" s="64">
        <f>INDEX('Allocator Summary'!H$8:H$28,MATCH($F261,'Allocator Summary'!$A$8:$A$28))*$E261</f>
        <v>1.0719750814266209</v>
      </c>
      <c r="N261" s="64">
        <f>INDEX('Allocator Summary'!I$8:I$28,MATCH($F261,'Allocator Summary'!$A$8:$A$28))*$E261</f>
        <v>20.25238236744719</v>
      </c>
      <c r="O261" s="64">
        <f>INDEX('Allocator Summary'!J$8:J$26,MATCH($F261,'Allocator Summary'!$A$8:$A$28))*$E261</f>
        <v>4.0924743067837115</v>
      </c>
      <c r="P261" s="64">
        <f>INDEX('Allocator Summary'!K$8:K$26,MATCH($F261,'Allocator Summary'!$A$8:$A$28))*$E261</f>
        <v>265.80742359391115</v>
      </c>
      <c r="Q261" s="64">
        <f>INDEX('Allocator Summary'!L$8:L$28,MATCH($F261,'Allocator Summary'!$A$8:$A$28))*$E261</f>
        <v>155.11784090021797</v>
      </c>
      <c r="R261" s="64">
        <f t="shared" si="104"/>
        <v>1005.9999999999998</v>
      </c>
      <c r="S261" s="64">
        <f t="shared" si="103"/>
        <v>0</v>
      </c>
    </row>
    <row r="262" spans="1:19" x14ac:dyDescent="0.25">
      <c r="A262" s="88"/>
      <c r="B262" s="89"/>
      <c r="C262" s="15" t="s">
        <v>8091</v>
      </c>
      <c r="E262" s="306">
        <f>+'COSS Step 1'!F240</f>
        <v>57940</v>
      </c>
      <c r="F262" s="36">
        <v>3</v>
      </c>
      <c r="G262" t="str">
        <f>INDEX('Allocator Summary'!$B$8:$B$28,MATCH($F262,'Allocator Summary'!$A$8:$A$28))</f>
        <v>Fixed O&amp;M</v>
      </c>
      <c r="H262" s="64">
        <f>INDEX('Allocator Summary'!C$8:C$28,MATCH($F262,'Allocator Summary'!$A$8:$A$28))*$E262</f>
        <v>1239.3810984551549</v>
      </c>
      <c r="I262" s="64">
        <f>INDEX('Allocator Summary'!D$8:D$28,MATCH($F262,'Allocator Summary'!$A$8:$A$28))*$E262</f>
        <v>10226.95327208181</v>
      </c>
      <c r="J262" s="64">
        <f>INDEX('Allocator Summary'!E$8:E$28,MATCH($F262,'Allocator Summary'!$A$8:$A$28))*$E262</f>
        <v>6744.8588912711393</v>
      </c>
      <c r="K262" s="64">
        <f>INDEX('Allocator Summary'!F$8:F$28,MATCH($F262,'Allocator Summary'!$A$8:$A$28))*$E262</f>
        <v>3473.0237899302956</v>
      </c>
      <c r="L262" s="64">
        <f>INDEX('Allocator Summary'!G$8:G$28,MATCH($F262,'Allocator Summary'!$A$8:$A$28))*$E262</f>
        <v>10548.962812364327</v>
      </c>
      <c r="M262" s="64">
        <f>INDEX('Allocator Summary'!H$8:H$28,MATCH($F262,'Allocator Summary'!$A$8:$A$28))*$E262</f>
        <v>61.739797433258865</v>
      </c>
      <c r="N262" s="64">
        <f>INDEX('Allocator Summary'!I$8:I$28,MATCH($F262,'Allocator Summary'!$A$8:$A$28))*$E262</f>
        <v>1166.4244874452188</v>
      </c>
      <c r="O262" s="64">
        <f>INDEX('Allocator Summary'!J$8:J$26,MATCH($F262,'Allocator Summary'!$A$8:$A$28))*$E262</f>
        <v>235.70373890163839</v>
      </c>
      <c r="P262" s="64">
        <f>INDEX('Allocator Summary'!K$8:K$26,MATCH($F262,'Allocator Summary'!$A$8:$A$28))*$E262</f>
        <v>15309.027955299416</v>
      </c>
      <c r="Q262" s="64">
        <f>INDEX('Allocator Summary'!L$8:L$28,MATCH($F262,'Allocator Summary'!$A$8:$A$28))*$E262</f>
        <v>8933.924156817724</v>
      </c>
      <c r="R262" s="64">
        <f t="shared" si="104"/>
        <v>57939.999999999985</v>
      </c>
      <c r="S262" s="64">
        <f t="shared" si="103"/>
        <v>0</v>
      </c>
    </row>
    <row r="263" spans="1:19" x14ac:dyDescent="0.25">
      <c r="A263" s="88"/>
      <c r="B263" s="89"/>
      <c r="C263" s="15" t="s">
        <v>8093</v>
      </c>
      <c r="E263" s="306">
        <f>+'COSS Step 1'!F241</f>
        <v>6825</v>
      </c>
      <c r="F263" s="36" t="s">
        <v>2209</v>
      </c>
      <c r="G263" t="str">
        <f>INDEX('Allocator Summary'!$B$8:$B$28,MATCH($F263,'Allocator Summary'!$A$8:$A$28))</f>
        <v>Water Treatment</v>
      </c>
      <c r="H263" s="64">
        <f>INDEX('Allocator Summary'!C$8:C$28,MATCH($F263,'Allocator Summary'!$A$8:$A$28))*$E263</f>
        <v>0</v>
      </c>
      <c r="I263" s="64">
        <f>INDEX('Allocator Summary'!D$8:D$28,MATCH($F263,'Allocator Summary'!$A$8:$A$28))*$E263</f>
        <v>0</v>
      </c>
      <c r="J263" s="64">
        <f>INDEX('Allocator Summary'!E$8:E$28,MATCH($F263,'Allocator Summary'!$A$8:$A$28))*$E263</f>
        <v>6825</v>
      </c>
      <c r="K263" s="64">
        <f>INDEX('Allocator Summary'!F$8:F$28,MATCH($F263,'Allocator Summary'!$A$8:$A$28))*$E263</f>
        <v>0</v>
      </c>
      <c r="L263" s="64">
        <f>INDEX('Allocator Summary'!G$8:G$28,MATCH($F263,'Allocator Summary'!$A$8:$A$28))*$E263</f>
        <v>0</v>
      </c>
      <c r="M263" s="64">
        <f>INDEX('Allocator Summary'!H$8:H$28,MATCH($F263,'Allocator Summary'!$A$8:$A$28))*$E263</f>
        <v>0</v>
      </c>
      <c r="N263" s="64">
        <f>INDEX('Allocator Summary'!I$8:I$28,MATCH($F263,'Allocator Summary'!$A$8:$A$28))*$E263</f>
        <v>0</v>
      </c>
      <c r="O263" s="64">
        <f>INDEX('Allocator Summary'!J$8:J$26,MATCH($F263,'Allocator Summary'!$A$8:$A$28))*$E263</f>
        <v>0</v>
      </c>
      <c r="P263" s="64">
        <f>INDEX('Allocator Summary'!K$8:K$26,MATCH($F263,'Allocator Summary'!$A$8:$A$28))*$E263</f>
        <v>0</v>
      </c>
      <c r="Q263" s="64">
        <f>INDEX('Allocator Summary'!L$8:L$28,MATCH($F263,'Allocator Summary'!$A$8:$A$28))*$E263</f>
        <v>0</v>
      </c>
      <c r="R263" s="64">
        <f t="shared" si="104"/>
        <v>6825</v>
      </c>
      <c r="S263" s="64">
        <f t="shared" si="103"/>
        <v>0</v>
      </c>
    </row>
    <row r="264" spans="1:19" x14ac:dyDescent="0.25">
      <c r="A264" s="88"/>
      <c r="B264" s="89"/>
      <c r="C264" s="15" t="s">
        <v>8095</v>
      </c>
      <c r="E264" s="306">
        <f>+'COSS Step 1'!F242</f>
        <v>19176</v>
      </c>
      <c r="F264" s="36">
        <v>3</v>
      </c>
      <c r="G264" t="str">
        <f>INDEX('Allocator Summary'!$B$8:$B$28,MATCH($F264,'Allocator Summary'!$A$8:$A$28))</f>
        <v>Fixed O&amp;M</v>
      </c>
      <c r="H264" s="64">
        <f>INDEX('Allocator Summary'!C$8:C$28,MATCH($F264,'Allocator Summary'!$A$8:$A$28))*$E264</f>
        <v>410.18936734511647</v>
      </c>
      <c r="I264" s="64">
        <f>INDEX('Allocator Summary'!D$8:D$28,MATCH($F264,'Allocator Summary'!$A$8:$A$28))*$E264</f>
        <v>3384.7438029934547</v>
      </c>
      <c r="J264" s="64">
        <f>INDEX('Allocator Summary'!E$8:E$28,MATCH($F264,'Allocator Summary'!$A$8:$A$28))*$E264</f>
        <v>2232.2991732657124</v>
      </c>
      <c r="K264" s="64">
        <f>INDEX('Allocator Summary'!F$8:F$28,MATCH($F264,'Allocator Summary'!$A$8:$A$28))*$E264</f>
        <v>1149.4425991664368</v>
      </c>
      <c r="L264" s="64">
        <f>INDEX('Allocator Summary'!G$8:G$28,MATCH($F264,'Allocator Summary'!$A$8:$A$28))*$E264</f>
        <v>3491.3170674818489</v>
      </c>
      <c r="M264" s="64">
        <f>INDEX('Allocator Summary'!H$8:H$28,MATCH($F264,'Allocator Summary'!$A$8:$A$28))*$E264</f>
        <v>20.433592605802069</v>
      </c>
      <c r="N264" s="64">
        <f>INDEX('Allocator Summary'!I$8:I$28,MATCH($F264,'Allocator Summary'!$A$8:$A$28))*$E264</f>
        <v>386.04342373575281</v>
      </c>
      <c r="O264" s="64">
        <f>INDEX('Allocator Summary'!J$8:J$26,MATCH($F264,'Allocator Summary'!$A$8:$A$28))*$E264</f>
        <v>78.009231915392093</v>
      </c>
      <c r="P264" s="64">
        <f>INDEX('Allocator Summary'!K$8:K$26,MATCH($F264,'Allocator Summary'!$A$8:$A$28))*$E264</f>
        <v>5066.7228179292642</v>
      </c>
      <c r="Q264" s="64">
        <f>INDEX('Allocator Summary'!L$8:L$28,MATCH($F264,'Allocator Summary'!$A$8:$A$28))*$E264</f>
        <v>2956.7989235612126</v>
      </c>
      <c r="R264" s="64">
        <f t="shared" si="104"/>
        <v>19175.999999999993</v>
      </c>
      <c r="S264" s="64">
        <f t="shared" si="103"/>
        <v>0</v>
      </c>
    </row>
    <row r="265" spans="1:19" x14ac:dyDescent="0.25">
      <c r="A265" s="88"/>
      <c r="B265" s="89"/>
      <c r="C265" s="15" t="s">
        <v>8097</v>
      </c>
      <c r="E265" s="306">
        <f>+'COSS Step 1'!F243</f>
        <v>19777</v>
      </c>
      <c r="F265" s="36">
        <v>3</v>
      </c>
      <c r="G265" t="str">
        <f>INDEX('Allocator Summary'!$B$8:$B$28,MATCH($F265,'Allocator Summary'!$A$8:$A$28))</f>
        <v>Fixed O&amp;M</v>
      </c>
      <c r="H265" s="64">
        <f>INDEX('Allocator Summary'!C$8:C$28,MATCH($F265,'Allocator Summary'!$A$8:$A$28))*$E265</f>
        <v>423.04521891866756</v>
      </c>
      <c r="I265" s="64">
        <f>INDEX('Allocator Summary'!D$8:D$28,MATCH($F265,'Allocator Summary'!$A$8:$A$28))*$E265</f>
        <v>3490.825938245805</v>
      </c>
      <c r="J265" s="64">
        <f>INDEX('Allocator Summary'!E$8:E$28,MATCH($F265,'Allocator Summary'!$A$8:$A$28))*$E265</f>
        <v>2302.2622418479345</v>
      </c>
      <c r="K265" s="64">
        <f>INDEX('Allocator Summary'!F$8:F$28,MATCH($F265,'Allocator Summary'!$A$8:$A$28))*$E265</f>
        <v>1185.4675784164904</v>
      </c>
      <c r="L265" s="64">
        <f>INDEX('Allocator Summary'!G$8:G$28,MATCH($F265,'Allocator Summary'!$A$8:$A$28))*$E265</f>
        <v>3600.7393431157971</v>
      </c>
      <c r="M265" s="64">
        <f>INDEX('Allocator Summary'!H$8:H$28,MATCH($F265,'Allocator Summary'!$A$8:$A$28))*$E265</f>
        <v>21.074007142519168</v>
      </c>
      <c r="N265" s="64">
        <f>INDEX('Allocator Summary'!I$8:I$28,MATCH($F265,'Allocator Summary'!$A$8:$A$28))*$E265</f>
        <v>398.14251101491357</v>
      </c>
      <c r="O265" s="64">
        <f>INDEX('Allocator Summary'!J$8:J$26,MATCH($F265,'Allocator Summary'!$A$8:$A$28))*$E265</f>
        <v>80.454139528092895</v>
      </c>
      <c r="P265" s="64">
        <f>INDEX('Allocator Summary'!K$8:K$26,MATCH($F265,'Allocator Summary'!$A$8:$A$28))*$E265</f>
        <v>5225.5202946488871</v>
      </c>
      <c r="Q265" s="64">
        <f>INDEX('Allocator Summary'!L$8:L$28,MATCH($F265,'Allocator Summary'!$A$8:$A$28))*$E265</f>
        <v>3049.4687271208859</v>
      </c>
      <c r="R265" s="64">
        <f t="shared" si="104"/>
        <v>19776.999999999993</v>
      </c>
      <c r="S265" s="64">
        <f t="shared" si="103"/>
        <v>0</v>
      </c>
    </row>
    <row r="266" spans="1:19" x14ac:dyDescent="0.25">
      <c r="A266" s="88"/>
      <c r="B266" s="89"/>
      <c r="C266" s="15" t="s">
        <v>8099</v>
      </c>
      <c r="E266" s="306">
        <f>+'COSS Step 1'!F244</f>
        <v>115427</v>
      </c>
      <c r="F266" s="36">
        <v>3</v>
      </c>
      <c r="G266" t="str">
        <f>INDEX('Allocator Summary'!$B$8:$B$28,MATCH($F266,'Allocator Summary'!$A$8:$A$28))</f>
        <v>Fixed O&amp;M</v>
      </c>
      <c r="H266" s="168">
        <f>INDEX('Allocator Summary'!C$8:C$28,MATCH($F266,'Allocator Summary'!$A$8:$A$28))*$E266</f>
        <v>2469.0721790021257</v>
      </c>
      <c r="I266" s="64">
        <f>INDEX('Allocator Summary'!D$8:D$28,MATCH($F266,'Allocator Summary'!$A$8:$A$28))*$E266</f>
        <v>20373.947796627323</v>
      </c>
      <c r="J266" s="64">
        <f>INDEX('Allocator Summary'!E$8:E$28,MATCH($F266,'Allocator Summary'!$A$8:$A$28))*$E266</f>
        <v>13436.983556140038</v>
      </c>
      <c r="K266" s="64">
        <f>INDEX('Allocator Summary'!F$8:F$28,MATCH($F266,'Allocator Summary'!$A$8:$A$28))*$E266</f>
        <v>6918.8939765323476</v>
      </c>
      <c r="L266" s="64">
        <f>INDEX('Allocator Summary'!G$8:G$28,MATCH($F266,'Allocator Summary'!$A$8:$A$28))*$E266</f>
        <v>21015.449267220869</v>
      </c>
      <c r="M266" s="64">
        <f>INDEX('Allocator Summary'!H$8:H$28,MATCH($F266,'Allocator Summary'!$A$8:$A$28))*$E266</f>
        <v>122.99688640539819</v>
      </c>
      <c r="N266" s="64">
        <f>INDEX('Allocator Summary'!I$8:I$28,MATCH($F266,'Allocator Summary'!$A$8:$A$28))*$E266</f>
        <v>2323.7293633472432</v>
      </c>
      <c r="O266" s="64">
        <f>INDEX('Allocator Summary'!J$8:J$26,MATCH($F266,'Allocator Summary'!$A$8:$A$28))*$E266</f>
        <v>469.56464394545071</v>
      </c>
      <c r="P266" s="64">
        <f>INDEX('Allocator Summary'!K$8:K$26,MATCH($F266,'Allocator Summary'!$A$8:$A$28))*$E266</f>
        <v>30498.363303354257</v>
      </c>
      <c r="Q266" s="64">
        <f>INDEX('Allocator Summary'!L$8:L$28,MATCH($F266,'Allocator Summary'!$A$8:$A$28))*$E266</f>
        <v>17797.99902742491</v>
      </c>
      <c r="R266" s="64">
        <f t="shared" si="104"/>
        <v>115426.99999999997</v>
      </c>
      <c r="S266" s="64">
        <f t="shared" si="103"/>
        <v>0</v>
      </c>
    </row>
    <row r="267" spans="1:19" x14ac:dyDescent="0.25">
      <c r="A267" s="88"/>
      <c r="B267" s="89"/>
      <c r="C267" s="15" t="s">
        <v>8101</v>
      </c>
      <c r="E267" s="306">
        <f>+'COSS Step 1'!F245</f>
        <v>1830</v>
      </c>
      <c r="F267" s="36">
        <v>3</v>
      </c>
      <c r="G267" t="str">
        <f>INDEX('Allocator Summary'!$B$8:$B$28,MATCH($F267,'Allocator Summary'!$A$8:$A$28))</f>
        <v>Fixed O&amp;M</v>
      </c>
      <c r="H267" s="64">
        <f>INDEX('Allocator Summary'!C$8:C$28,MATCH($F267,'Allocator Summary'!$A$8:$A$28))*$E267</f>
        <v>39.145105456902542</v>
      </c>
      <c r="I267" s="64">
        <f>INDEX('Allocator Summary'!D$8:D$28,MATCH($F267,'Allocator Summary'!$A$8:$A$28))*$E267</f>
        <v>323.01215892146547</v>
      </c>
      <c r="J267" s="64">
        <f>INDEX('Allocator Summary'!E$8:E$28,MATCH($F267,'Allocator Summary'!$A$8:$A$28))*$E267</f>
        <v>213.03230533355514</v>
      </c>
      <c r="K267" s="64">
        <f>INDEX('Allocator Summary'!F$8:F$28,MATCH($F267,'Allocator Summary'!$A$8:$A$28))*$E267</f>
        <v>109.69336443859926</v>
      </c>
      <c r="L267" s="64">
        <f>INDEX('Allocator Summary'!G$8:G$28,MATCH($F267,'Allocator Summary'!$A$8:$A$28))*$E267</f>
        <v>333.18263628972585</v>
      </c>
      <c r="M267" s="64">
        <f>INDEX('Allocator Summary'!H$8:H$28,MATCH($F267,'Allocator Summary'!$A$8:$A$28))*$E267</f>
        <v>1.9500143131319247</v>
      </c>
      <c r="N267" s="64">
        <f>INDEX('Allocator Summary'!I$8:I$28,MATCH($F267,'Allocator Summary'!$A$8:$A$28))*$E267</f>
        <v>36.84081484336815</v>
      </c>
      <c r="O267" s="64">
        <f>INDEX('Allocator Summary'!J$8:J$26,MATCH($F267,'Allocator Summary'!$A$8:$A$28))*$E267</f>
        <v>7.4445606177079435</v>
      </c>
      <c r="P267" s="64">
        <f>INDEX('Allocator Summary'!K$8:K$26,MATCH($F267,'Allocator Summary'!$A$8:$A$28))*$E267</f>
        <v>483.52642661715447</v>
      </c>
      <c r="Q267" s="64">
        <f>INDEX('Allocator Summary'!L$8:L$28,MATCH($F267,'Allocator Summary'!$A$8:$A$28))*$E267</f>
        <v>282.17261316838858</v>
      </c>
      <c r="R267" s="64">
        <f t="shared" si="104"/>
        <v>1829.9999999999995</v>
      </c>
      <c r="S267" s="64">
        <f t="shared" si="103"/>
        <v>0</v>
      </c>
    </row>
    <row r="268" spans="1:19" x14ac:dyDescent="0.25">
      <c r="A268" s="88"/>
      <c r="B268" s="89"/>
      <c r="C268" s="15" t="s">
        <v>8103</v>
      </c>
      <c r="E268" s="306">
        <f>+'COSS Step 1'!F246</f>
        <v>73893</v>
      </c>
      <c r="F268" s="36">
        <v>3</v>
      </c>
      <c r="G268" t="str">
        <f>INDEX('Allocator Summary'!$B$8:$B$28,MATCH($F268,'Allocator Summary'!$A$8:$A$28))</f>
        <v>Fixed O&amp;M</v>
      </c>
      <c r="H268" s="64">
        <f>INDEX('Allocator Summary'!C$8:C$28,MATCH($F268,'Allocator Summary'!$A$8:$A$28))*$E268</f>
        <v>1580.6280205065025</v>
      </c>
      <c r="I268" s="64">
        <f>INDEX('Allocator Summary'!D$8:D$28,MATCH($F268,'Allocator Summary'!$A$8:$A$28))*$E268</f>
        <v>13042.807354745273</v>
      </c>
      <c r="J268" s="64">
        <f>INDEX('Allocator Summary'!E$8:E$28,MATCH($F268,'Allocator Summary'!$A$8:$A$28))*$E268</f>
        <v>8601.9651027390119</v>
      </c>
      <c r="K268" s="64">
        <f>INDEX('Allocator Summary'!F$8:F$28,MATCH($F268,'Allocator Summary'!$A$8:$A$28))*$E268</f>
        <v>4429.2741958805545</v>
      </c>
      <c r="L268" s="64">
        <f>INDEX('Allocator Summary'!G$8:G$28,MATCH($F268,'Allocator Summary'!$A$8:$A$28))*$E268</f>
        <v>13453.477892544652</v>
      </c>
      <c r="M268" s="64">
        <f>INDEX('Allocator Summary'!H$8:H$28,MATCH($F268,'Allocator Summary'!$A$8:$A$28))*$E268</f>
        <v>78.73902056844662</v>
      </c>
      <c r="N268" s="64">
        <f>INDEX('Allocator Summary'!I$8:I$28,MATCH($F268,'Allocator Summary'!$A$8:$A$28))*$E268</f>
        <v>1487.5837875524603</v>
      </c>
      <c r="O268" s="64">
        <f>INDEX('Allocator Summary'!J$8:J$26,MATCH($F268,'Allocator Summary'!$A$8:$A$28))*$E268</f>
        <v>300.6015943848596</v>
      </c>
      <c r="P268" s="64">
        <f>INDEX('Allocator Summary'!K$8:K$26,MATCH($F268,'Allocator Summary'!$A$8:$A$28))*$E268</f>
        <v>19524.162973782182</v>
      </c>
      <c r="Q268" s="64">
        <f>INDEX('Allocator Summary'!L$8:L$28,MATCH($F268,'Allocator Summary'!$A$8:$A$28))*$E268</f>
        <v>11393.760057296031</v>
      </c>
      <c r="R268" s="64">
        <f t="shared" si="104"/>
        <v>73892.999999999985</v>
      </c>
      <c r="S268" s="64">
        <f t="shared" si="103"/>
        <v>0</v>
      </c>
    </row>
    <row r="269" spans="1:19" x14ac:dyDescent="0.25">
      <c r="A269" s="93"/>
      <c r="B269" s="94"/>
      <c r="C269" s="114" t="s">
        <v>8105</v>
      </c>
      <c r="D269" s="66"/>
      <c r="E269" s="306">
        <f>+'COSS Step 1'!F247</f>
        <v>7264</v>
      </c>
      <c r="F269" s="75">
        <v>3</v>
      </c>
      <c r="G269" s="66" t="str">
        <f>INDEX('Allocator Summary'!$B$8:$B$28,MATCH($F269,'Allocator Summary'!$A$8:$A$28))</f>
        <v>Fixed O&amp;M</v>
      </c>
      <c r="H269" s="76">
        <f>INDEX('Allocator Summary'!C$8:C$28,MATCH($F269,'Allocator Summary'!$A$8:$A$28))*$E269</f>
        <v>155.38253881909293</v>
      </c>
      <c r="I269" s="76">
        <f>INDEX('Allocator Summary'!D$8:D$28,MATCH($F269,'Allocator Summary'!$A$8:$A$28))*$E269</f>
        <v>1282.1641106041122</v>
      </c>
      <c r="J269" s="76">
        <f>INDEX('Allocator Summary'!E$8:E$28,MATCH($F269,'Allocator Summary'!$A$8:$A$28))*$E269</f>
        <v>845.61019996882214</v>
      </c>
      <c r="K269" s="76">
        <f>INDEX('Allocator Summary'!F$8:F$28,MATCH($F269,'Allocator Summary'!$A$8:$A$28))*$E269</f>
        <v>435.41672091911749</v>
      </c>
      <c r="L269" s="76">
        <f>INDEX('Allocator Summary'!G$8:G$28,MATCH($F269,'Allocator Summary'!$A$8:$A$28))*$E269</f>
        <v>1322.5347923544091</v>
      </c>
      <c r="M269" s="76">
        <f>INDEX('Allocator Summary'!H$8:H$28,MATCH($F269,'Allocator Summary'!$A$8:$A$28))*$E269</f>
        <v>7.7403846833826782</v>
      </c>
      <c r="N269" s="76">
        <f>INDEX('Allocator Summary'!I$8:I$28,MATCH($F269,'Allocator Summary'!$A$8:$A$28))*$E269</f>
        <v>146.23589017607989</v>
      </c>
      <c r="O269" s="76">
        <f>INDEX('Allocator Summary'!J$8:J$26,MATCH($F269,'Allocator Summary'!$A$8:$A$28))*$E269</f>
        <v>29.550430779798088</v>
      </c>
      <c r="P269" s="76">
        <f>INDEX('Allocator Summary'!K$8:K$26,MATCH($F269,'Allocator Summary'!$A$8:$A$28))*$E269</f>
        <v>1919.3092693699509</v>
      </c>
      <c r="Q269" s="76">
        <f>INDEX('Allocator Summary'!L$8:L$28,MATCH($F269,'Allocator Summary'!$A$8:$A$28))*$E269</f>
        <v>1120.0556623252321</v>
      </c>
      <c r="R269" s="76">
        <f t="shared" si="104"/>
        <v>7263.9999999999973</v>
      </c>
      <c r="S269" s="76">
        <f t="shared" si="103"/>
        <v>0</v>
      </c>
    </row>
    <row r="270" spans="1:19" x14ac:dyDescent="0.25">
      <c r="A270" s="4" t="s">
        <v>7156</v>
      </c>
      <c r="B270" s="95"/>
      <c r="C270" s="95"/>
      <c r="D270" s="74"/>
      <c r="E270" s="316">
        <f>SUM(E186:E269)</f>
        <v>8287933</v>
      </c>
      <c r="H270" s="96">
        <f t="shared" ref="H270:S270" si="106">SUM(H186:H269)</f>
        <v>155812.73657206586</v>
      </c>
      <c r="I270" s="96">
        <f t="shared" si="106"/>
        <v>837943.36682059895</v>
      </c>
      <c r="J270" s="96">
        <f t="shared" si="106"/>
        <v>1180075.6281959661</v>
      </c>
      <c r="K270" s="96">
        <f t="shared" si="106"/>
        <v>837298.60178003332</v>
      </c>
      <c r="L270" s="96">
        <f t="shared" si="106"/>
        <v>1645926.7091790435</v>
      </c>
      <c r="M270" s="96">
        <f t="shared" si="106"/>
        <v>171321.63852317806</v>
      </c>
      <c r="N270" s="96">
        <f t="shared" si="106"/>
        <v>1484179.6657578521</v>
      </c>
      <c r="O270" s="96">
        <f t="shared" si="106"/>
        <v>147209.35783267405</v>
      </c>
      <c r="P270" s="96">
        <f t="shared" si="106"/>
        <v>816708.28611167544</v>
      </c>
      <c r="Q270" s="96">
        <f t="shared" si="106"/>
        <v>1011457.0092269104</v>
      </c>
      <c r="R270" s="96">
        <f t="shared" si="106"/>
        <v>8287933</v>
      </c>
      <c r="S270" s="96">
        <f t="shared" si="106"/>
        <v>0</v>
      </c>
    </row>
    <row r="271" spans="1:19" x14ac:dyDescent="0.25">
      <c r="A271" s="4"/>
      <c r="B271" s="95"/>
      <c r="C271" s="95"/>
      <c r="D271" s="74"/>
      <c r="E271" s="316"/>
    </row>
    <row r="272" spans="1:19" x14ac:dyDescent="0.25">
      <c r="A272" s="4"/>
      <c r="B272" s="95"/>
      <c r="C272" s="95" t="s">
        <v>8149</v>
      </c>
      <c r="D272" s="74"/>
      <c r="E272" s="306">
        <f>+LinkFromRateBase!G81</f>
        <v>0</v>
      </c>
      <c r="F272" s="36">
        <v>6</v>
      </c>
      <c r="G272" t="str">
        <f>INDEX('Allocator Summary'!$B$8:$B$28,MATCH($F272,'Allocator Summary'!$A$8:$A$28))</f>
        <v>Rate Base</v>
      </c>
      <c r="H272" s="64">
        <f>INDEX('Allocator Summary'!C$8:C$28,MATCH($F272,'Allocator Summary'!$A$8:$A$28))*$E272</f>
        <v>0</v>
      </c>
      <c r="I272" s="64">
        <f>INDEX('Allocator Summary'!D$8:D$28,MATCH($F272,'Allocator Summary'!$A$8:$A$28))*$E272</f>
        <v>0</v>
      </c>
      <c r="J272" s="64">
        <f>INDEX('Allocator Summary'!E$8:E$28,MATCH($F272,'Allocator Summary'!$A$8:$A$28))*$E272</f>
        <v>0</v>
      </c>
      <c r="K272" s="64">
        <f>INDEX('Allocator Summary'!F$8:F$28,MATCH($F272,'Allocator Summary'!$A$8:$A$28))*$E272</f>
        <v>0</v>
      </c>
      <c r="L272" s="64">
        <f>INDEX('Allocator Summary'!G$8:G$28,MATCH($F272,'Allocator Summary'!$A$8:$A$28))*$E272</f>
        <v>0</v>
      </c>
      <c r="M272" s="64">
        <f>INDEX('Allocator Summary'!H$8:H$28,MATCH($F272,'Allocator Summary'!$A$8:$A$28))*$E272</f>
        <v>0</v>
      </c>
      <c r="N272" s="64">
        <f>INDEX('Allocator Summary'!I$8:I$28,MATCH($F272,'Allocator Summary'!$A$8:$A$28))*$E272</f>
        <v>0</v>
      </c>
      <c r="O272" s="64">
        <f>INDEX('Allocator Summary'!J$8:J$26,MATCH($F272,'Allocator Summary'!$A$8:$A$28))*$E272</f>
        <v>0</v>
      </c>
      <c r="P272" s="64">
        <f>INDEX('Allocator Summary'!K$8:K$26,MATCH($F272,'Allocator Summary'!$A$8:$A$28))*$E272</f>
        <v>0</v>
      </c>
      <c r="Q272" s="64">
        <f>INDEX('Allocator Summary'!L$8:L$28,MATCH($F272,'Allocator Summary'!$A$8:$A$28))*$E272</f>
        <v>0</v>
      </c>
      <c r="R272" s="64">
        <f t="shared" ref="R272" si="107">SUM(H272:Q272)</f>
        <v>0</v>
      </c>
      <c r="S272" s="64">
        <f>R272-E272</f>
        <v>0</v>
      </c>
    </row>
    <row r="273" spans="1:19" x14ac:dyDescent="0.25">
      <c r="A273" s="88"/>
      <c r="B273" s="89"/>
      <c r="C273" s="54"/>
      <c r="F273" s="36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</row>
    <row r="274" spans="1:19" x14ac:dyDescent="0.25">
      <c r="C274" s="5" t="s">
        <v>7021</v>
      </c>
      <c r="D274" s="5"/>
      <c r="E274" s="314">
        <f>+E270+E272</f>
        <v>8287933</v>
      </c>
      <c r="H274" s="85">
        <f>+H270+H273+H272</f>
        <v>155812.73657206586</v>
      </c>
      <c r="I274" s="85">
        <f t="shared" ref="I274:S274" si="108">+I270+I273+I272</f>
        <v>837943.36682059895</v>
      </c>
      <c r="J274" s="85">
        <f t="shared" si="108"/>
        <v>1180075.6281959661</v>
      </c>
      <c r="K274" s="85">
        <f t="shared" si="108"/>
        <v>837298.60178003332</v>
      </c>
      <c r="L274" s="85">
        <f t="shared" si="108"/>
        <v>1645926.7091790435</v>
      </c>
      <c r="M274" s="85">
        <f t="shared" si="108"/>
        <v>171321.63852317806</v>
      </c>
      <c r="N274" s="85">
        <f t="shared" si="108"/>
        <v>1484179.6657578521</v>
      </c>
      <c r="O274" s="85">
        <f t="shared" si="108"/>
        <v>147209.35783267405</v>
      </c>
      <c r="P274" s="85">
        <f t="shared" si="108"/>
        <v>816708.28611167544</v>
      </c>
      <c r="Q274" s="85">
        <f t="shared" si="108"/>
        <v>1011457.0092269104</v>
      </c>
      <c r="R274" s="85">
        <f t="shared" si="108"/>
        <v>8287933</v>
      </c>
      <c r="S274" s="85">
        <f t="shared" si="108"/>
        <v>0</v>
      </c>
    </row>
    <row r="276" spans="1:19" x14ac:dyDescent="0.25">
      <c r="A276" s="4" t="s">
        <v>37</v>
      </c>
    </row>
    <row r="277" spans="1:19" x14ac:dyDescent="0.25">
      <c r="A277" s="4"/>
    </row>
    <row r="278" spans="1:19" x14ac:dyDescent="0.25">
      <c r="A278" s="4"/>
      <c r="C278" t="s">
        <v>4010</v>
      </c>
      <c r="E278" s="306">
        <f>+'COSS Step 1'!F257</f>
        <v>11112</v>
      </c>
      <c r="F278" s="36" t="s">
        <v>7010</v>
      </c>
      <c r="G278" t="str">
        <f>INDEX('Allocator Summary'!$B$8:$B$28,MATCH($F278,'Allocator Summary'!$A$8:$A$28))</f>
        <v>Services</v>
      </c>
      <c r="H278" s="64">
        <f>INDEX('Allocator Summary'!C$8:C$28,MATCH($F278,'Allocator Summary'!$A$8:$A$28))*$E278</f>
        <v>0</v>
      </c>
      <c r="I278" s="64">
        <f>INDEX('Allocator Summary'!D$8:D$28,MATCH($F278,'Allocator Summary'!$A$8:$A$28))*$E278</f>
        <v>0</v>
      </c>
      <c r="J278" s="64">
        <f>INDEX('Allocator Summary'!E$8:E$28,MATCH($F278,'Allocator Summary'!$A$8:$A$28))*$E278</f>
        <v>0</v>
      </c>
      <c r="K278" s="64">
        <f>INDEX('Allocator Summary'!F$8:F$28,MATCH($F278,'Allocator Summary'!$A$8:$A$28))*$E278</f>
        <v>0</v>
      </c>
      <c r="L278" s="64">
        <f>INDEX('Allocator Summary'!G$8:G$28,MATCH($F278,'Allocator Summary'!$A$8:$A$28))*$E278</f>
        <v>0</v>
      </c>
      <c r="M278" s="64">
        <f>INDEX('Allocator Summary'!H$8:H$28,MATCH($F278,'Allocator Summary'!$A$8:$A$28))*$E278</f>
        <v>0</v>
      </c>
      <c r="N278" s="64">
        <f>INDEX('Allocator Summary'!I$8:I$28,MATCH($F278,'Allocator Summary'!$A$8:$A$28))*$E278</f>
        <v>0</v>
      </c>
      <c r="O278" s="64">
        <f>INDEX('Allocator Summary'!J$8:J$26,MATCH($F278,'Allocator Summary'!$A$8:$A$28))*$E278</f>
        <v>11112</v>
      </c>
      <c r="P278" s="64">
        <f>INDEX('Allocator Summary'!K$8:K$26,MATCH($F278,'Allocator Summary'!$A$8:$A$28))*$E278</f>
        <v>0</v>
      </c>
      <c r="Q278" s="64">
        <f>INDEX('Allocator Summary'!L$8:L$28,MATCH($F278,'Allocator Summary'!$A$8:$A$28))*$E278</f>
        <v>0</v>
      </c>
      <c r="R278" s="64">
        <f t="shared" ref="R278" si="109">SUM(H278:Q278)</f>
        <v>11112</v>
      </c>
      <c r="S278" s="64">
        <f>R278-E278</f>
        <v>0</v>
      </c>
    </row>
    <row r="279" spans="1:19" x14ac:dyDescent="0.25">
      <c r="B279" s="70"/>
      <c r="C279" t="s">
        <v>4011</v>
      </c>
      <c r="E279" s="306">
        <f>+'COSS Step 1'!F258</f>
        <v>54747</v>
      </c>
      <c r="F279" s="36">
        <v>6</v>
      </c>
      <c r="G279" t="str">
        <f>INDEX('Allocator Summary'!$B$8:$B$28,MATCH($F279,'Allocator Summary'!$A$8:$A$28))</f>
        <v>Rate Base</v>
      </c>
      <c r="H279" s="64">
        <f>INDEX('Allocator Summary'!C$8:C$28,MATCH($F279,'Allocator Summary'!$A$8:$A$28))*$E279</f>
        <v>1290.033739350572</v>
      </c>
      <c r="I279" s="64">
        <f>INDEX('Allocator Summary'!D$8:D$28,MATCH($F279,'Allocator Summary'!$A$8:$A$28))*$E279</f>
        <v>3426.5053943720359</v>
      </c>
      <c r="J279" s="64">
        <f>INDEX('Allocator Summary'!E$8:E$28,MATCH($F279,'Allocator Summary'!$A$8:$A$28))*$E279</f>
        <v>8622.0995409438347</v>
      </c>
      <c r="K279" s="64">
        <f>INDEX('Allocator Summary'!F$8:F$28,MATCH($F279,'Allocator Summary'!$A$8:$A$28))*$E279</f>
        <v>11193.056626365804</v>
      </c>
      <c r="L279" s="64">
        <f>INDEX('Allocator Summary'!G$8:G$28,MATCH($F279,'Allocator Summary'!$A$8:$A$28))*$E279</f>
        <v>19028.715227068511</v>
      </c>
      <c r="M279" s="64">
        <f>INDEX('Allocator Summary'!H$8:H$28,MATCH($F279,'Allocator Summary'!$A$8:$A$28))*$E279</f>
        <v>2039.4588371563054</v>
      </c>
      <c r="N279" s="64">
        <f>INDEX('Allocator Summary'!I$8:I$28,MATCH($F279,'Allocator Summary'!$A$8:$A$28))*$E279</f>
        <v>3286.4620797002121</v>
      </c>
      <c r="O279" s="64">
        <f>INDEX('Allocator Summary'!J$8:J$26,MATCH($F279,'Allocator Summary'!$A$8:$A$28))*$E279</f>
        <v>1279.7004957129675</v>
      </c>
      <c r="P279" s="64">
        <f>INDEX('Allocator Summary'!K$8:K$26,MATCH($F279,'Allocator Summary'!$A$8:$A$28))*$E279</f>
        <v>865.73121033813106</v>
      </c>
      <c r="Q279" s="64">
        <f>INDEX('Allocator Summary'!L$8:L$28,MATCH($F279,'Allocator Summary'!$A$8:$A$28))*$E279</f>
        <v>3715.2368489916262</v>
      </c>
      <c r="R279" s="64">
        <f t="shared" ref="R279" si="110">SUM(H279:Q279)</f>
        <v>54747.000000000007</v>
      </c>
      <c r="S279" s="64">
        <f>R279-E279</f>
        <v>0</v>
      </c>
    </row>
    <row r="280" spans="1:19" x14ac:dyDescent="0.25">
      <c r="A280" s="66"/>
      <c r="B280" s="97"/>
      <c r="C280" s="98" t="s">
        <v>4015</v>
      </c>
      <c r="D280" s="66"/>
      <c r="E280" s="306">
        <f>+'COSS Step 1'!F259</f>
        <v>13344</v>
      </c>
      <c r="F280" s="75">
        <v>6</v>
      </c>
      <c r="G280" s="66" t="str">
        <f>INDEX('Allocator Summary'!$B$8:$B$28,MATCH($F280,'Allocator Summary'!$A$8:$A$28))</f>
        <v>Rate Base</v>
      </c>
      <c r="H280" s="76">
        <f>INDEX('Allocator Summary'!C$8:C$28,MATCH($F280,'Allocator Summary'!$A$8:$A$28))*$E280</f>
        <v>314.43202765254773</v>
      </c>
      <c r="I280" s="76">
        <f>INDEX('Allocator Summary'!D$8:D$28,MATCH($F280,'Allocator Summary'!$A$8:$A$28))*$E280</f>
        <v>835.17431060150238</v>
      </c>
      <c r="J280" s="76">
        <f>INDEX('Allocator Summary'!E$8:E$28,MATCH($F280,'Allocator Summary'!$A$8:$A$28))*$E280</f>
        <v>2101.5452221008372</v>
      </c>
      <c r="K280" s="76">
        <f>INDEX('Allocator Summary'!F$8:F$28,MATCH($F280,'Allocator Summary'!$A$8:$A$28))*$E280</f>
        <v>2728.1887157693627</v>
      </c>
      <c r="L280" s="76">
        <f>INDEX('Allocator Summary'!G$8:G$28,MATCH($F280,'Allocator Summary'!$A$8:$A$28))*$E280</f>
        <v>4638.0473083457036</v>
      </c>
      <c r="M280" s="76">
        <f>INDEX('Allocator Summary'!H$8:H$28,MATCH($F280,'Allocator Summary'!$A$8:$A$28))*$E280</f>
        <v>497.09643858136042</v>
      </c>
      <c r="N280" s="76">
        <f>INDEX('Allocator Summary'!I$8:I$28,MATCH($F280,'Allocator Summary'!$A$8:$A$28))*$E280</f>
        <v>801.04023949293355</v>
      </c>
      <c r="O280" s="76">
        <f>INDEX('Allocator Summary'!J$8:J$26,MATCH($F280,'Allocator Summary'!$A$8:$A$28))*$E280</f>
        <v>311.91340922413718</v>
      </c>
      <c r="P280" s="76">
        <f>INDEX('Allocator Summary'!K$8:K$26,MATCH($F280,'Allocator Summary'!$A$8:$A$28))*$E280</f>
        <v>211.01279103424883</v>
      </c>
      <c r="Q280" s="76">
        <f>INDEX('Allocator Summary'!L$8:L$28,MATCH($F280,'Allocator Summary'!$A$8:$A$28))*$E280</f>
        <v>905.54953719736716</v>
      </c>
      <c r="R280" s="76">
        <f t="shared" ref="R280" si="111">SUM(H280:Q280)</f>
        <v>13344</v>
      </c>
      <c r="S280" s="76">
        <f>R280-E280</f>
        <v>0</v>
      </c>
    </row>
    <row r="281" spans="1:19" x14ac:dyDescent="0.25">
      <c r="A281" s="4" t="s">
        <v>7163</v>
      </c>
      <c r="B281" s="95"/>
      <c r="C281" s="95"/>
      <c r="D281" s="74"/>
      <c r="E281" s="201">
        <f>SUM(E278:E280)</f>
        <v>79203</v>
      </c>
      <c r="F281" s="54"/>
      <c r="H281" s="64">
        <f t="shared" ref="H281:S281" si="112">SUM(H278:H280)</f>
        <v>1604.4657670031197</v>
      </c>
      <c r="I281" s="64">
        <f t="shared" si="112"/>
        <v>4261.6797049735378</v>
      </c>
      <c r="J281" s="64">
        <f t="shared" si="112"/>
        <v>10723.644763044671</v>
      </c>
      <c r="K281" s="64">
        <f t="shared" si="112"/>
        <v>13921.245342135167</v>
      </c>
      <c r="L281" s="64">
        <f t="shared" si="112"/>
        <v>23666.762535414215</v>
      </c>
      <c r="M281" s="64">
        <f t="shared" si="112"/>
        <v>2536.5552757376659</v>
      </c>
      <c r="N281" s="64">
        <f t="shared" si="112"/>
        <v>4087.5023191931459</v>
      </c>
      <c r="O281" s="64">
        <f t="shared" si="112"/>
        <v>12703.613904937105</v>
      </c>
      <c r="P281" s="64">
        <f t="shared" si="112"/>
        <v>1076.7440013723799</v>
      </c>
      <c r="Q281" s="64">
        <f t="shared" si="112"/>
        <v>4620.7863861889937</v>
      </c>
      <c r="R281" s="64">
        <f t="shared" si="112"/>
        <v>79203</v>
      </c>
      <c r="S281" s="64">
        <f t="shared" si="112"/>
        <v>0</v>
      </c>
    </row>
    <row r="283" spans="1:19" x14ac:dyDescent="0.25">
      <c r="C283" s="5" t="s">
        <v>7022</v>
      </c>
      <c r="D283" s="5"/>
      <c r="E283" s="314">
        <f>E281</f>
        <v>79203</v>
      </c>
      <c r="H283" s="85">
        <f t="shared" ref="H283:S283" si="113">H281</f>
        <v>1604.4657670031197</v>
      </c>
      <c r="I283" s="85">
        <f t="shared" si="113"/>
        <v>4261.6797049735378</v>
      </c>
      <c r="J283" s="85">
        <f t="shared" si="113"/>
        <v>10723.644763044671</v>
      </c>
      <c r="K283" s="85">
        <f t="shared" si="113"/>
        <v>13921.245342135167</v>
      </c>
      <c r="L283" s="85">
        <f t="shared" si="113"/>
        <v>23666.762535414215</v>
      </c>
      <c r="M283" s="85">
        <f t="shared" si="113"/>
        <v>2536.5552757376659</v>
      </c>
      <c r="N283" s="85">
        <f t="shared" si="113"/>
        <v>4087.5023191931459</v>
      </c>
      <c r="O283" s="85">
        <f t="shared" si="113"/>
        <v>12703.613904937105</v>
      </c>
      <c r="P283" s="85">
        <f t="shared" si="113"/>
        <v>1076.7440013723799</v>
      </c>
      <c r="Q283" s="85">
        <f t="shared" si="113"/>
        <v>4620.7863861889937</v>
      </c>
      <c r="R283" s="85">
        <f t="shared" si="113"/>
        <v>79203</v>
      </c>
      <c r="S283" s="85">
        <f t="shared" si="113"/>
        <v>0</v>
      </c>
    </row>
    <row r="284" spans="1:19" x14ac:dyDescent="0.25">
      <c r="C284" s="5"/>
      <c r="D284" s="5"/>
      <c r="E284" s="315"/>
    </row>
    <row r="285" spans="1:19" x14ac:dyDescent="0.25">
      <c r="A285" t="s">
        <v>38</v>
      </c>
      <c r="C285" s="5"/>
      <c r="D285" s="5"/>
      <c r="E285" s="315"/>
    </row>
    <row r="286" spans="1:19" x14ac:dyDescent="0.25">
      <c r="C286" t="s">
        <v>6891</v>
      </c>
      <c r="D286" s="5"/>
      <c r="E286" s="317">
        <f>+'COSS Step 1'!F278</f>
        <v>1610724.5</v>
      </c>
      <c r="F286" s="193">
        <v>6</v>
      </c>
      <c r="G286" s="74" t="str">
        <f>INDEX('Allocator Summary'!$B$8:$B$28,MATCH($F286,'Allocator Summary'!$A$8:$A$28))</f>
        <v>Rate Base</v>
      </c>
      <c r="H286" s="194">
        <f>INDEX('Allocator Summary'!C$8:C$28,MATCH($F286,'Allocator Summary'!$A$8:$A$28))*$E286</f>
        <v>37954.389277925373</v>
      </c>
      <c r="I286" s="194">
        <f>INDEX('Allocator Summary'!D$8:D$28,MATCH($F286,'Allocator Summary'!$A$8:$A$28))*$E286</f>
        <v>100812.02966550131</v>
      </c>
      <c r="J286" s="194">
        <f>INDEX('Allocator Summary'!E$8:E$28,MATCH($F286,'Allocator Summary'!$A$8:$A$28))*$E286</f>
        <v>253672.84001017388</v>
      </c>
      <c r="K286" s="194">
        <f>INDEX('Allocator Summary'!F$8:F$28,MATCH($F286,'Allocator Summary'!$A$8:$A$28))*$E286</f>
        <v>329313.57951987773</v>
      </c>
      <c r="L286" s="194">
        <f>INDEX('Allocator Summary'!G$8:G$28,MATCH($F286,'Allocator Summary'!$A$8:$A$28))*$E286</f>
        <v>559848.3536954046</v>
      </c>
      <c r="M286" s="194">
        <f>INDEX('Allocator Summary'!H$8:H$28,MATCH($F286,'Allocator Summary'!$A$8:$A$28))*$E286</f>
        <v>60003.403213859601</v>
      </c>
      <c r="N286" s="194">
        <f>INDEX('Allocator Summary'!I$8:I$28,MATCH($F286,'Allocator Summary'!$A$8:$A$28))*$E286</f>
        <v>96691.782017171427</v>
      </c>
      <c r="O286" s="194">
        <f>INDEX('Allocator Summary'!J$8:J$26,MATCH($F286,'Allocator Summary'!$A$8:$A$28))*$E286</f>
        <v>37650.3724607197</v>
      </c>
      <c r="P286" s="194">
        <f>INDEX('Allocator Summary'!K$8:K$26,MATCH($F286,'Allocator Summary'!$A$8:$A$28))*$E286</f>
        <v>25470.883717944016</v>
      </c>
      <c r="Q286" s="194">
        <f>INDEX('Allocator Summary'!L$8:L$28,MATCH($F286,'Allocator Summary'!$A$8:$A$28))*$E286</f>
        <v>109306.86642142241</v>
      </c>
      <c r="R286" s="194">
        <f t="shared" ref="R286:R287" si="114">SUM(H286:Q286)</f>
        <v>1610724.5</v>
      </c>
      <c r="S286" s="194">
        <f>R286-E286</f>
        <v>0</v>
      </c>
    </row>
    <row r="287" spans="1:19" x14ac:dyDescent="0.25">
      <c r="C287" s="4" t="s">
        <v>6892</v>
      </c>
      <c r="D287" s="5"/>
      <c r="E287" s="317">
        <f>+'COSS Step 1'!F279</f>
        <v>953910</v>
      </c>
      <c r="F287" s="193">
        <v>6</v>
      </c>
      <c r="G287" s="74" t="str">
        <f>INDEX('Allocator Summary'!$B$8:$B$28,MATCH($F287,'Allocator Summary'!$A$8:$A$28))</f>
        <v>Rate Base</v>
      </c>
      <c r="H287" s="194">
        <f>INDEX('Allocator Summary'!C$8:C$28,MATCH($F287,'Allocator Summary'!$A$8:$A$28))*$E287</f>
        <v>22477.507156627835</v>
      </c>
      <c r="I287" s="194">
        <f>INDEX('Allocator Summary'!D$8:D$28,MATCH($F287,'Allocator Summary'!$A$8:$A$28))*$E287</f>
        <v>59703.321839469354</v>
      </c>
      <c r="J287" s="194">
        <f>INDEX('Allocator Summary'!E$8:E$28,MATCH($F287,'Allocator Summary'!$A$8:$A$28))*$E287</f>
        <v>150231.19025885864</v>
      </c>
      <c r="K287" s="194">
        <f>INDEX('Allocator Summary'!F$8:F$28,MATCH($F287,'Allocator Summary'!$A$8:$A$28))*$E287</f>
        <v>195027.46536717273</v>
      </c>
      <c r="L287" s="194">
        <f>INDEX('Allocator Summary'!G$8:G$28,MATCH($F287,'Allocator Summary'!$A$8:$A$28))*$E287</f>
        <v>331555.73350599891</v>
      </c>
      <c r="M287" s="194">
        <f>INDEX('Allocator Summary'!H$8:H$28,MATCH($F287,'Allocator Summary'!$A$8:$A$28))*$E287</f>
        <v>35535.466406410786</v>
      </c>
      <c r="N287" s="194">
        <f>INDEX('Allocator Summary'!I$8:I$28,MATCH($F287,'Allocator Summary'!$A$8:$A$28))*$E287</f>
        <v>57263.211544866921</v>
      </c>
      <c r="O287" s="194">
        <f>INDEX('Allocator Summary'!J$8:J$26,MATCH($F287,'Allocator Summary'!$A$8:$A$28))*$E287</f>
        <v>22297.46104563824</v>
      </c>
      <c r="P287" s="194">
        <f>INDEX('Allocator Summary'!K$8:K$26,MATCH($F287,'Allocator Summary'!$A$8:$A$28))*$E287</f>
        <v>15084.473283534195</v>
      </c>
      <c r="Q287" s="194">
        <f>INDEX('Allocator Summary'!L$8:L$28,MATCH($F287,'Allocator Summary'!$A$8:$A$28))*$E287</f>
        <v>64734.169591422404</v>
      </c>
      <c r="R287" s="194">
        <f t="shared" si="114"/>
        <v>953910</v>
      </c>
      <c r="S287" s="194">
        <f>R287-E287</f>
        <v>0</v>
      </c>
    </row>
    <row r="288" spans="1:19" x14ac:dyDescent="0.25">
      <c r="A288" s="66"/>
      <c r="B288" s="66"/>
      <c r="C288" s="80" t="s">
        <v>8136</v>
      </c>
      <c r="D288" s="99"/>
      <c r="E288" s="317">
        <f>+'COSS Step 1'!F280</f>
        <v>-5275</v>
      </c>
      <c r="F288" s="75">
        <v>6</v>
      </c>
      <c r="G288" s="66" t="str">
        <f>INDEX('Allocator Summary'!$B$8:$B$28,MATCH($F288,'Allocator Summary'!$A$8:$A$28))</f>
        <v>Rate Base</v>
      </c>
      <c r="H288" s="76">
        <f>INDEX('Allocator Summary'!C$8:C$28,MATCH($F288,'Allocator Summary'!$A$8:$A$28))*$E288</f>
        <v>-124.29773275383613</v>
      </c>
      <c r="I288" s="76">
        <f>INDEX('Allocator Summary'!D$8:D$28,MATCH($F288,'Allocator Summary'!$A$8:$A$28))*$E288</f>
        <v>-330.15171525951178</v>
      </c>
      <c r="J288" s="76">
        <f>INDEX('Allocator Summary'!E$8:E$28,MATCH($F288,'Allocator Summary'!$A$8:$A$28))*$E288</f>
        <v>-830.75922111675038</v>
      </c>
      <c r="K288" s="76">
        <f>INDEX('Allocator Summary'!F$8:F$28,MATCH($F288,'Allocator Summary'!$A$8:$A$28))*$E288</f>
        <v>-1078.4768791729157</v>
      </c>
      <c r="L288" s="76">
        <f>INDEX('Allocator Summary'!G$8:G$28,MATCH($F288,'Allocator Summary'!$A$8:$A$28))*$E288</f>
        <v>-1833.460697806024</v>
      </c>
      <c r="M288" s="76">
        <f>INDEX('Allocator Summary'!H$8:H$28,MATCH($F288,'Allocator Summary'!$A$8:$A$28))*$E288</f>
        <v>-196.50657325514661</v>
      </c>
      <c r="N288" s="76">
        <f>INDEX('Allocator Summary'!I$8:I$28,MATCH($F288,'Allocator Summary'!$A$8:$A$28))*$E288</f>
        <v>-316.65821817485192</v>
      </c>
      <c r="O288" s="76">
        <f>INDEX('Allocator Summary'!J$8:J$26,MATCH($F288,'Allocator Summary'!$A$8:$A$28))*$E288</f>
        <v>-123.30210084362437</v>
      </c>
      <c r="P288" s="76">
        <f>INDEX('Allocator Summary'!K$8:K$26,MATCH($F288,'Allocator Summary'!$A$8:$A$28))*$E288</f>
        <v>-83.415203290292453</v>
      </c>
      <c r="Q288" s="76">
        <f>INDEX('Allocator Summary'!L$8:L$28,MATCH($F288,'Allocator Summary'!$A$8:$A$28))*$E288</f>
        <v>-357.97165832704673</v>
      </c>
      <c r="R288" s="76">
        <f t="shared" ref="R288" si="115">SUM(H288:Q288)</f>
        <v>-5274.9999999999991</v>
      </c>
      <c r="S288" s="76">
        <f>R288-E288</f>
        <v>0</v>
      </c>
    </row>
    <row r="289" spans="1:19" x14ac:dyDescent="0.25">
      <c r="A289" s="4" t="s">
        <v>7165</v>
      </c>
      <c r="B289" s="95"/>
      <c r="C289" s="95"/>
      <c r="D289" s="74"/>
      <c r="E289" s="201">
        <f>SUM(E286:E288)</f>
        <v>2559359.5</v>
      </c>
      <c r="H289" s="64">
        <f>SUM(H286:H288)</f>
        <v>60307.598701799368</v>
      </c>
      <c r="I289" s="64">
        <f>SUM(I286:I288)</f>
        <v>160185.19978971116</v>
      </c>
      <c r="J289" s="64">
        <f t="shared" ref="J289:R289" si="116">SUM(J286:J288)</f>
        <v>403073.27104791574</v>
      </c>
      <c r="K289" s="64">
        <f t="shared" si="116"/>
        <v>523262.56800787762</v>
      </c>
      <c r="L289" s="64">
        <f t="shared" si="116"/>
        <v>889570.62650359748</v>
      </c>
      <c r="M289" s="64">
        <f t="shared" si="116"/>
        <v>95342.363047015242</v>
      </c>
      <c r="N289" s="64">
        <f t="shared" si="116"/>
        <v>153638.33534386349</v>
      </c>
      <c r="O289" s="64">
        <f t="shared" si="116"/>
        <v>59824.531405514317</v>
      </c>
      <c r="P289" s="64">
        <f t="shared" si="116"/>
        <v>40471.941798187916</v>
      </c>
      <c r="Q289" s="64">
        <f t="shared" si="116"/>
        <v>173683.06435451779</v>
      </c>
      <c r="R289" s="64">
        <f t="shared" si="116"/>
        <v>2559359.5</v>
      </c>
      <c r="S289" s="64">
        <f>SUM(S288)</f>
        <v>0</v>
      </c>
    </row>
    <row r="290" spans="1:19" x14ac:dyDescent="0.25">
      <c r="C290" s="4"/>
      <c r="D290" s="5"/>
    </row>
    <row r="291" spans="1:19" x14ac:dyDescent="0.25">
      <c r="C291" s="54"/>
      <c r="D291" s="5"/>
      <c r="E291" s="318"/>
    </row>
    <row r="292" spans="1:19" x14ac:dyDescent="0.25">
      <c r="C292" s="5" t="s">
        <v>7023</v>
      </c>
      <c r="D292" s="5"/>
      <c r="E292" s="314">
        <f>+E289</f>
        <v>2559359.5</v>
      </c>
      <c r="H292" s="82">
        <f>H289</f>
        <v>60307.598701799368</v>
      </c>
      <c r="I292" s="82">
        <f>I289</f>
        <v>160185.19978971116</v>
      </c>
      <c r="J292" s="82">
        <f t="shared" ref="J292:R292" si="117">J289</f>
        <v>403073.27104791574</v>
      </c>
      <c r="K292" s="82">
        <f t="shared" si="117"/>
        <v>523262.56800787762</v>
      </c>
      <c r="L292" s="82">
        <f t="shared" si="117"/>
        <v>889570.62650359748</v>
      </c>
      <c r="M292" s="82">
        <f t="shared" si="117"/>
        <v>95342.363047015242</v>
      </c>
      <c r="N292" s="82">
        <f t="shared" si="117"/>
        <v>153638.33534386349</v>
      </c>
      <c r="O292" s="82">
        <f t="shared" si="117"/>
        <v>59824.531405514317</v>
      </c>
      <c r="P292" s="82">
        <f t="shared" si="117"/>
        <v>40471.941798187916</v>
      </c>
      <c r="Q292" s="82">
        <f t="shared" si="117"/>
        <v>173683.06435451779</v>
      </c>
      <c r="R292" s="82">
        <f t="shared" si="117"/>
        <v>2559359.5</v>
      </c>
      <c r="S292" s="64"/>
    </row>
    <row r="293" spans="1:19" x14ac:dyDescent="0.25">
      <c r="C293" s="5"/>
      <c r="D293" s="5"/>
      <c r="E293" s="315"/>
    </row>
    <row r="294" spans="1:19" x14ac:dyDescent="0.25">
      <c r="A294" s="4" t="s">
        <v>7017</v>
      </c>
      <c r="B294" s="54"/>
      <c r="C294" s="54"/>
    </row>
    <row r="295" spans="1:19" x14ac:dyDescent="0.25">
      <c r="B295" s="83"/>
      <c r="C295" t="s">
        <v>19</v>
      </c>
      <c r="E295" s="317">
        <f>+'COSS Step 1'!F267</f>
        <v>3030984</v>
      </c>
      <c r="F295" s="36">
        <v>5</v>
      </c>
      <c r="G295" t="str">
        <f>INDEX('Allocator Summary'!$B$8:$B$28,MATCH($F295,'Allocator Summary'!$A$8:$A$28))</f>
        <v>Net Plant (less gen. and int.)</v>
      </c>
      <c r="H295" s="64">
        <f>INDEX('Allocator Summary'!C$8:C$28,MATCH($F295,'Allocator Summary'!$A$8:$A$28))*$E295</f>
        <v>66214.032682942212</v>
      </c>
      <c r="I295" s="64">
        <f>INDEX('Allocator Summary'!D$8:D$28,MATCH($F295,'Allocator Summary'!$A$8:$A$28))*$E295</f>
        <v>180403.46053019495</v>
      </c>
      <c r="J295" s="64">
        <f>INDEX('Allocator Summary'!E$8:E$28,MATCH($F295,'Allocator Summary'!$A$8:$A$28))*$E295</f>
        <v>441544.56623561948</v>
      </c>
      <c r="K295" s="64">
        <f>INDEX('Allocator Summary'!F$8:F$28,MATCH($F295,'Allocator Summary'!$A$8:$A$28))*$E295</f>
        <v>620702.49460514018</v>
      </c>
      <c r="L295" s="64">
        <f>INDEX('Allocator Summary'!G$8:G$28,MATCH($F295,'Allocator Summary'!$A$8:$A$28))*$E295</f>
        <v>1126392.5337813187</v>
      </c>
      <c r="M295" s="64">
        <f>INDEX('Allocator Summary'!H$8:H$28,MATCH($F295,'Allocator Summary'!$A$8:$A$28))*$E295</f>
        <v>103440.5004462326</v>
      </c>
      <c r="N295" s="64">
        <f>INDEX('Allocator Summary'!I$8:I$28,MATCH($F295,'Allocator Summary'!$A$8:$A$28))*$E295</f>
        <v>167536.3172718061</v>
      </c>
      <c r="O295" s="64">
        <f>INDEX('Allocator Summary'!J$8:J$26,MATCH($F295,'Allocator Summary'!$A$8:$A$28))*$E295</f>
        <v>65324.302525098006</v>
      </c>
      <c r="P295" s="64">
        <f>INDEX('Allocator Summary'!K$8:K$26,MATCH($F295,'Allocator Summary'!$A$8:$A$28))*$E295</f>
        <v>53892.336103354493</v>
      </c>
      <c r="Q295" s="64">
        <f>INDEX('Allocator Summary'!L$8:L$28,MATCH($F295,'Allocator Summary'!$A$8:$A$28))*$E295</f>
        <v>205533.45581829344</v>
      </c>
      <c r="R295" s="64">
        <f t="shared" ref="R295:R298" si="118">SUM(H295:Q295)</f>
        <v>3030984.0000000005</v>
      </c>
      <c r="S295" s="64">
        <f>R295-E295</f>
        <v>0</v>
      </c>
    </row>
    <row r="296" spans="1:19" x14ac:dyDescent="0.25">
      <c r="B296" s="83"/>
      <c r="C296" t="s">
        <v>7162</v>
      </c>
      <c r="E296" s="317">
        <f>+'COSS Step 1'!F268</f>
        <v>349036.99754669063</v>
      </c>
      <c r="F296" s="36">
        <v>4</v>
      </c>
      <c r="G296" t="str">
        <f>INDEX('Allocator Summary'!$B$8:$B$28,MATCH($F296,'Allocator Summary'!$A$8:$A$28))</f>
        <v>Labor</v>
      </c>
      <c r="H296" s="64">
        <f>INDEX('Allocator Summary'!C$8:C$28,MATCH($F296,'Allocator Summary'!$A$8:$A$28))*$E296</f>
        <v>0</v>
      </c>
      <c r="I296" s="64">
        <f>INDEX('Allocator Summary'!D$8:D$28,MATCH($F296,'Allocator Summary'!$A$8:$A$28))*$E296</f>
        <v>95053.686307306969</v>
      </c>
      <c r="J296" s="64">
        <f>INDEX('Allocator Summary'!E$8:E$28,MATCH($F296,'Allocator Summary'!$A$8:$A$28))*$E296</f>
        <v>55837.153856876619</v>
      </c>
      <c r="K296" s="64">
        <f>INDEX('Allocator Summary'!F$8:F$28,MATCH($F296,'Allocator Summary'!$A$8:$A$28))*$E296</f>
        <v>16974.96851185304</v>
      </c>
      <c r="L296" s="64">
        <f>INDEX('Allocator Summary'!G$8:G$28,MATCH($F296,'Allocator Summary'!$A$8:$A$28))*$E296</f>
        <v>51559.77108241665</v>
      </c>
      <c r="M296" s="64">
        <f>INDEX('Allocator Summary'!H$8:H$28,MATCH($F296,'Allocator Summary'!$A$8:$A$28))*$E296</f>
        <v>264.78789577144443</v>
      </c>
      <c r="N296" s="64">
        <f>INDEX('Allocator Summary'!I$8:I$28,MATCH($F296,'Allocator Summary'!$A$8:$A$28))*$E296</f>
        <v>9358.0907797465952</v>
      </c>
      <c r="O296" s="64">
        <f>INDEX('Allocator Summary'!J$8:J$26,MATCH($F296,'Allocator Summary'!$A$8:$A$28))*$E296</f>
        <v>755.40771475403949</v>
      </c>
      <c r="P296" s="64">
        <f>INDEX('Allocator Summary'!K$8:K$26,MATCH($F296,'Allocator Summary'!$A$8:$A$28))*$E296</f>
        <v>90659.945784552998</v>
      </c>
      <c r="Q296" s="64">
        <f>INDEX('Allocator Summary'!L$8:L$28,MATCH($F296,'Allocator Summary'!$A$8:$A$28))*$E296</f>
        <v>28573.185613412315</v>
      </c>
      <c r="R296" s="64">
        <f t="shared" si="118"/>
        <v>349036.99754669063</v>
      </c>
      <c r="S296" s="64">
        <f>R296-E296</f>
        <v>0</v>
      </c>
    </row>
    <row r="297" spans="1:19" x14ac:dyDescent="0.25">
      <c r="B297" s="83"/>
      <c r="C297" t="s">
        <v>63</v>
      </c>
      <c r="E297" s="317">
        <f>+'COSS Step 1'!F270</f>
        <v>105132</v>
      </c>
      <c r="F297" s="36">
        <v>6</v>
      </c>
      <c r="G297" t="str">
        <f>INDEX('Allocator Summary'!$B$8:$B$28,MATCH($F297,'Allocator Summary'!$A$8:$A$28))</f>
        <v>Rate Base</v>
      </c>
      <c r="H297" s="64">
        <f>INDEX('Allocator Summary'!C$8:C$28,MATCH($F297,'Allocator Summary'!$A$8:$A$28))*$E297</f>
        <v>2477.283268222995</v>
      </c>
      <c r="I297" s="64">
        <f>INDEX('Allocator Summary'!D$8:D$28,MATCH($F297,'Allocator Summary'!$A$8:$A$28))*$E297</f>
        <v>6580.0019201256855</v>
      </c>
      <c r="J297" s="64">
        <f>INDEX('Allocator Summary'!E$8:E$28,MATCH($F297,'Allocator Summary'!$A$8:$A$28))*$E297</f>
        <v>16557.228139231505</v>
      </c>
      <c r="K297" s="64">
        <f>INDEX('Allocator Summary'!F$8:F$28,MATCH($F297,'Allocator Summary'!$A$8:$A$28))*$E297</f>
        <v>21494.299765157721</v>
      </c>
      <c r="L297" s="64">
        <f>INDEX('Allocator Summary'!G$8:G$28,MATCH($F297,'Allocator Summary'!$A$8:$A$28))*$E297</f>
        <v>36541.306176633727</v>
      </c>
      <c r="M297" s="64">
        <f>INDEX('Allocator Summary'!H$8:H$28,MATCH($F297,'Allocator Summary'!$A$8:$A$28))*$E297</f>
        <v>3916.4225705137578</v>
      </c>
      <c r="N297" s="64">
        <f>INDEX('Allocator Summary'!I$8:I$28,MATCH($F297,'Allocator Summary'!$A$8:$A$28))*$E297</f>
        <v>6311.0733257172578</v>
      </c>
      <c r="O297" s="64">
        <f>INDEX('Allocator Summary'!J$8:J$26,MATCH($F297,'Allocator Summary'!$A$8:$A$28))*$E297</f>
        <v>2457.4400883207427</v>
      </c>
      <c r="P297" s="64">
        <f>INDEX('Allocator Summary'!K$8:K$26,MATCH($F297,'Allocator Summary'!$A$8:$A$28))*$E297</f>
        <v>1662.4847682113796</v>
      </c>
      <c r="Q297" s="64">
        <f>INDEX('Allocator Summary'!L$8:L$28,MATCH($F297,'Allocator Summary'!$A$8:$A$28))*$E297</f>
        <v>7134.4599778652282</v>
      </c>
      <c r="R297" s="64">
        <f t="shared" ref="R297" si="119">SUM(H297:Q297)</f>
        <v>105132.00000000001</v>
      </c>
      <c r="S297" s="64">
        <f>R297-E297</f>
        <v>0</v>
      </c>
    </row>
    <row r="298" spans="1:19" x14ac:dyDescent="0.25">
      <c r="A298" s="66"/>
      <c r="B298" s="86"/>
      <c r="C298" s="66" t="s">
        <v>6899</v>
      </c>
      <c r="D298" s="66"/>
      <c r="E298" s="317">
        <f>+'COSS Step 1'!F269</f>
        <v>8550</v>
      </c>
      <c r="F298" s="75">
        <v>6</v>
      </c>
      <c r="G298" s="66" t="str">
        <f>INDEX('Allocator Summary'!$B$8:$B$28,MATCH($F298,'Allocator Summary'!$A$8:$A$28))</f>
        <v>Rate Base</v>
      </c>
      <c r="H298" s="76">
        <f>INDEX('Allocator Summary'!C$8:C$28,MATCH($F298,'Allocator Summary'!$A$8:$A$28))*$E298</f>
        <v>201.46836304176281</v>
      </c>
      <c r="I298" s="76">
        <f>INDEX('Allocator Summary'!D$8:D$28,MATCH($F298,'Allocator Summary'!$A$8:$A$28))*$E298</f>
        <v>535.12742473342666</v>
      </c>
      <c r="J298" s="76">
        <f>INDEX('Allocator Summary'!E$8:E$28,MATCH($F298,'Allocator Summary'!$A$8:$A$28))*$E298</f>
        <v>1346.5386427579556</v>
      </c>
      <c r="K298" s="76">
        <f>INDEX('Allocator Summary'!F$8:F$28,MATCH($F298,'Allocator Summary'!$A$8:$A$28))*$E298</f>
        <v>1748.0525719295601</v>
      </c>
      <c r="L298" s="76">
        <f>INDEX('Allocator Summary'!G$8:G$28,MATCH($F298,'Allocator Summary'!$A$8:$A$28))*$E298</f>
        <v>2971.77042014057</v>
      </c>
      <c r="M298" s="76">
        <f>INDEX('Allocator Summary'!H$8:H$28,MATCH($F298,'Allocator Summary'!$A$8:$A$28))*$E298</f>
        <v>318.50828461260727</v>
      </c>
      <c r="N298" s="76">
        <f>INDEX('Allocator Summary'!I$8:I$28,MATCH($F298,'Allocator Summary'!$A$8:$A$28))*$E298</f>
        <v>513.25644841611074</v>
      </c>
      <c r="O298" s="76">
        <f>INDEX('Allocator Summary'!J$8:J$26,MATCH($F298,'Allocator Summary'!$A$8:$A$28))*$E298</f>
        <v>199.85458999298356</v>
      </c>
      <c r="P298" s="76">
        <f>INDEX('Allocator Summary'!K$8:K$26,MATCH($F298,'Allocator Summary'!$A$8:$A$28))*$E298</f>
        <v>135.20378921933658</v>
      </c>
      <c r="Q298" s="76">
        <f>INDEX('Allocator Summary'!L$8:L$28,MATCH($F298,'Allocator Summary'!$A$8:$A$28))*$E298</f>
        <v>580.2194651556872</v>
      </c>
      <c r="R298" s="76">
        <f t="shared" si="118"/>
        <v>8550</v>
      </c>
      <c r="S298" s="76">
        <f>R298-E298</f>
        <v>0</v>
      </c>
    </row>
    <row r="299" spans="1:19" x14ac:dyDescent="0.25">
      <c r="E299" s="319">
        <f>SUM(E295:E298)</f>
        <v>3493702.9975466905</v>
      </c>
      <c r="H299" s="87">
        <f t="shared" ref="H299:S299" si="120">SUM(H295:H298)</f>
        <v>68892.784314206961</v>
      </c>
      <c r="I299" s="87">
        <f t="shared" si="120"/>
        <v>282572.27618236101</v>
      </c>
      <c r="J299" s="87">
        <f t="shared" si="120"/>
        <v>515285.48687448556</v>
      </c>
      <c r="K299" s="87">
        <f t="shared" si="120"/>
        <v>660919.81545408047</v>
      </c>
      <c r="L299" s="87">
        <f t="shared" si="120"/>
        <v>1217465.3814605097</v>
      </c>
      <c r="M299" s="87">
        <f t="shared" si="120"/>
        <v>107940.2191971304</v>
      </c>
      <c r="N299" s="87">
        <f t="shared" si="120"/>
        <v>183718.73782568605</v>
      </c>
      <c r="O299" s="87">
        <f t="shared" si="120"/>
        <v>68737.004918165781</v>
      </c>
      <c r="P299" s="87">
        <f t="shared" si="120"/>
        <v>146349.9704453382</v>
      </c>
      <c r="Q299" s="87">
        <f t="shared" si="120"/>
        <v>241821.32087472666</v>
      </c>
      <c r="R299" s="87">
        <f t="shared" si="120"/>
        <v>3493702.997546691</v>
      </c>
      <c r="S299" s="87">
        <f t="shared" si="120"/>
        <v>0</v>
      </c>
    </row>
    <row r="301" spans="1:19" x14ac:dyDescent="0.25">
      <c r="C301" s="5" t="s">
        <v>7164</v>
      </c>
      <c r="E301" s="315">
        <f>E299</f>
        <v>3493702.9975466905</v>
      </c>
      <c r="F301" s="54"/>
      <c r="H301" s="85">
        <f t="shared" ref="H301:S301" si="121">H299</f>
        <v>68892.784314206961</v>
      </c>
      <c r="I301" s="85">
        <f t="shared" si="121"/>
        <v>282572.27618236101</v>
      </c>
      <c r="J301" s="85">
        <f t="shared" si="121"/>
        <v>515285.48687448556</v>
      </c>
      <c r="K301" s="85">
        <f t="shared" si="121"/>
        <v>660919.81545408047</v>
      </c>
      <c r="L301" s="85">
        <f t="shared" si="121"/>
        <v>1217465.3814605097</v>
      </c>
      <c r="M301" s="85">
        <f t="shared" si="121"/>
        <v>107940.2191971304</v>
      </c>
      <c r="N301" s="85">
        <f t="shared" si="121"/>
        <v>183718.73782568605</v>
      </c>
      <c r="O301" s="85">
        <f t="shared" si="121"/>
        <v>68737.004918165781</v>
      </c>
      <c r="P301" s="85">
        <f t="shared" si="121"/>
        <v>146349.9704453382</v>
      </c>
      <c r="Q301" s="85">
        <f t="shared" si="121"/>
        <v>241821.32087472666</v>
      </c>
      <c r="R301" s="85">
        <f t="shared" si="121"/>
        <v>3493702.997546691</v>
      </c>
      <c r="S301" s="85">
        <f t="shared" si="121"/>
        <v>0</v>
      </c>
    </row>
    <row r="302" spans="1:19" x14ac:dyDescent="0.25">
      <c r="C302" s="118"/>
      <c r="E302" s="315"/>
      <c r="F302" s="54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</row>
    <row r="304" spans="1:19" x14ac:dyDescent="0.25">
      <c r="C304" t="s">
        <v>7166</v>
      </c>
      <c r="E304" s="320">
        <f>+LinkFromRateBase!G128</f>
        <v>11141501.502453309</v>
      </c>
      <c r="F304" s="36">
        <v>6</v>
      </c>
      <c r="G304" t="str">
        <f>INDEX('Allocator Summary'!$B$8:$B$28,MATCH($F304,'Allocator Summary'!$A$8:$A$28))</f>
        <v>Rate Base</v>
      </c>
      <c r="H304" s="64">
        <f>INDEX('Allocator Summary'!C$8:C$28,MATCH($F304,'Allocator Summary'!$A$8:$A$28))*$E304</f>
        <v>262533.34146510047</v>
      </c>
      <c r="I304" s="64">
        <f>INDEX('Allocator Summary'!D$8:D$28,MATCH($F304,'Allocator Summary'!$A$8:$A$28))*$E304</f>
        <v>697324.3282656658</v>
      </c>
      <c r="J304" s="64">
        <f>INDEX('Allocator Summary'!E$8:E$28,MATCH($F304,'Allocator Summary'!$A$8:$A$28))*$E304</f>
        <v>1754673.9545496141</v>
      </c>
      <c r="K304" s="64">
        <f>INDEX('Allocator Summary'!F$8:F$28,MATCH($F304,'Allocator Summary'!$A$8:$A$28))*$E304</f>
        <v>2277886.5914059142</v>
      </c>
      <c r="L304" s="64">
        <f>INDEX('Allocator Summary'!G$8:G$28,MATCH($F304,'Allocator Summary'!$A$8:$A$28))*$E304</f>
        <v>3872512.8188236794</v>
      </c>
      <c r="M304" s="64">
        <f>INDEX('Allocator Summary'!H$8:H$28,MATCH($F304,'Allocator Summary'!$A$8:$A$28))*$E304</f>
        <v>415048.01538657193</v>
      </c>
      <c r="N304" s="64">
        <f>INDEX('Allocator Summary'!I$8:I$28,MATCH($F304,'Allocator Summary'!$A$8:$A$28))*$E304</f>
        <v>668824.26797332708</v>
      </c>
      <c r="O304" s="64">
        <f>INDEX('Allocator Summary'!J$8:J$26,MATCH($F304,'Allocator Summary'!$A$8:$A$28))*$E304</f>
        <v>260430.43446538204</v>
      </c>
      <c r="P304" s="64">
        <f>INDEX('Allocator Summary'!K$8:K$26,MATCH($F304,'Allocator Summary'!$A$8:$A$28))*$E304</f>
        <v>176184.00242393205</v>
      </c>
      <c r="Q304" s="64">
        <f>INDEX('Allocator Summary'!L$8:L$28,MATCH($F304,'Allocator Summary'!$A$8:$A$28))*$E304</f>
        <v>756083.74769412202</v>
      </c>
      <c r="R304" s="64">
        <f t="shared" ref="R304" si="122">SUM(H304:Q304)</f>
        <v>11141501.502453309</v>
      </c>
      <c r="S304" s="82">
        <f t="shared" ref="S304" si="123">S292</f>
        <v>0</v>
      </c>
    </row>
    <row r="305" spans="1:20" x14ac:dyDescent="0.25">
      <c r="A305" s="66"/>
      <c r="B305" s="66"/>
      <c r="C305" s="173"/>
      <c r="D305" s="172"/>
      <c r="E305" s="321"/>
      <c r="F305" s="36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82"/>
    </row>
    <row r="306" spans="1:20" x14ac:dyDescent="0.25">
      <c r="E306" s="316">
        <f>+LinkFromRateBase!G129</f>
        <v>0</v>
      </c>
      <c r="F306" s="36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82"/>
    </row>
    <row r="307" spans="1:20" x14ac:dyDescent="0.25">
      <c r="E307" s="307"/>
    </row>
    <row r="308" spans="1:20" x14ac:dyDescent="0.25">
      <c r="C308" s="1" t="s">
        <v>8191</v>
      </c>
      <c r="E308" s="307">
        <f>(E181+E301+E283+E292+E304+E274)</f>
        <v>43850770</v>
      </c>
      <c r="F308" s="54"/>
      <c r="H308" s="82">
        <f t="shared" ref="H308:Q308" si="124">(H181+H301+H270+H281+H289+H304+H272)</f>
        <v>946618.08259773417</v>
      </c>
      <c r="I308" s="82">
        <f t="shared" si="124"/>
        <v>6261325.1672732392</v>
      </c>
      <c r="J308" s="82">
        <f t="shared" si="124"/>
        <v>7443748.7235578476</v>
      </c>
      <c r="K308" s="82">
        <f t="shared" si="124"/>
        <v>5186592.7521278681</v>
      </c>
      <c r="L308" s="82">
        <f t="shared" si="124"/>
        <v>10301715.744623225</v>
      </c>
      <c r="M308" s="82">
        <f t="shared" si="124"/>
        <v>807233.05669541028</v>
      </c>
      <c r="N308" s="82">
        <f t="shared" si="124"/>
        <v>2842052.3426510622</v>
      </c>
      <c r="O308" s="82">
        <f t="shared" si="124"/>
        <v>602246.54004732543</v>
      </c>
      <c r="P308" s="82">
        <f t="shared" si="124"/>
        <v>5250615.9466072796</v>
      </c>
      <c r="Q308" s="82">
        <f t="shared" si="124"/>
        <v>4208621.6438190052</v>
      </c>
      <c r="R308" s="82">
        <f>(R181+R301+R270+R281+R289+R304+R272)</f>
        <v>43850770</v>
      </c>
      <c r="S308" s="82">
        <f>+R308-E308</f>
        <v>0</v>
      </c>
      <c r="T308" s="64"/>
    </row>
    <row r="309" spans="1:20" x14ac:dyDescent="0.25">
      <c r="A309" s="66"/>
      <c r="B309" s="66"/>
      <c r="C309" s="246" t="s">
        <v>8190</v>
      </c>
      <c r="D309" s="66"/>
      <c r="E309" s="322">
        <f>-LinkFromRevenues!S11</f>
        <v>-984251</v>
      </c>
      <c r="F309" s="75">
        <v>6</v>
      </c>
      <c r="G309" s="66" t="str">
        <f>INDEX('Allocator Summary'!$B$8:$B$28,MATCH($F309,'Allocator Summary'!$A$8:$A$28))</f>
        <v>Rate Base</v>
      </c>
      <c r="H309" s="76">
        <f>INDEX('Allocator Summary'!C$8:C$28,MATCH($F309,'Allocator Summary'!$A$8:$A$28))*$E309</f>
        <v>-23192.448864586913</v>
      </c>
      <c r="I309" s="76">
        <f>INDEX('Allocator Summary'!D$8:D$28,MATCH($F309,'Allocator Summary'!$A$8:$A$28))*$E309</f>
        <v>-61602.304435239756</v>
      </c>
      <c r="J309" s="76">
        <f>INDEX('Allocator Summary'!E$8:E$28,MATCH($F309,'Allocator Summary'!$A$8:$A$28))*$E309</f>
        <v>-155009.59130680241</v>
      </c>
      <c r="K309" s="76">
        <f>INDEX('Allocator Summary'!F$8:F$28,MATCH($F309,'Allocator Summary'!$A$8:$A$28))*$E309</f>
        <v>-201230.70081570075</v>
      </c>
      <c r="L309" s="76">
        <f>INDEX('Allocator Summary'!G$8:G$28,MATCH($F309,'Allocator Summary'!$A$8:$A$28))*$E309</f>
        <v>-342101.52137938899</v>
      </c>
      <c r="M309" s="76">
        <f>INDEX('Allocator Summary'!H$8:H$28,MATCH($F309,'Allocator Summary'!$A$8:$A$28))*$E309</f>
        <v>-36665.742413829634</v>
      </c>
      <c r="N309" s="76">
        <f>INDEX('Allocator Summary'!I$8:I$28,MATCH($F309,'Allocator Summary'!$A$8:$A$28))*$E309</f>
        <v>-59084.581591813498</v>
      </c>
      <c r="O309" s="76">
        <f>INDEX('Allocator Summary'!J$8:J$26,MATCH($F309,'Allocator Summary'!$A$8:$A$28))*$E309</f>
        <v>-23006.67602984609</v>
      </c>
      <c r="P309" s="76">
        <f>INDEX('Allocator Summary'!K$8:K$26,MATCH($F309,'Allocator Summary'!$A$8:$A$28))*$E309</f>
        <v>-15564.264882213012</v>
      </c>
      <c r="Q309" s="76">
        <f>INDEX('Allocator Summary'!L$8:L$28,MATCH($F309,'Allocator Summary'!$A$8:$A$28))*$E309</f>
        <v>-66793.168280578975</v>
      </c>
      <c r="R309" s="76">
        <f t="shared" ref="R309" si="125">SUM(H309:Q309)</f>
        <v>-984251</v>
      </c>
      <c r="S309" s="169">
        <f t="shared" ref="S309" si="126">S297</f>
        <v>0</v>
      </c>
      <c r="T309" s="64"/>
    </row>
    <row r="310" spans="1:20" x14ac:dyDescent="0.25">
      <c r="C310" s="1" t="s">
        <v>7185</v>
      </c>
      <c r="E310" s="307">
        <f>E308+E309</f>
        <v>42866519</v>
      </c>
      <c r="F310" s="36"/>
      <c r="H310" s="82">
        <f t="shared" ref="H310:S310" si="127">H308+H309</f>
        <v>923425.63373314729</v>
      </c>
      <c r="I310" s="82">
        <f t="shared" si="127"/>
        <v>6199722.8628379991</v>
      </c>
      <c r="J310" s="82">
        <f t="shared" si="127"/>
        <v>7288739.1322510447</v>
      </c>
      <c r="K310" s="82">
        <f t="shared" si="127"/>
        <v>4985362.0513121672</v>
      </c>
      <c r="L310" s="82">
        <f t="shared" si="127"/>
        <v>9959614.2232438363</v>
      </c>
      <c r="M310" s="82">
        <f t="shared" si="127"/>
        <v>770567.31428158062</v>
      </c>
      <c r="N310" s="82">
        <f t="shared" si="127"/>
        <v>2782967.7610592488</v>
      </c>
      <c r="O310" s="82">
        <f t="shared" si="127"/>
        <v>579239.86401747935</v>
      </c>
      <c r="P310" s="82">
        <f t="shared" si="127"/>
        <v>5235051.6817250662</v>
      </c>
      <c r="Q310" s="82">
        <f t="shared" si="127"/>
        <v>4141828.4755384261</v>
      </c>
      <c r="R310" s="82">
        <f t="shared" si="127"/>
        <v>42866519</v>
      </c>
      <c r="S310" s="82">
        <f t="shared" si="127"/>
        <v>0</v>
      </c>
      <c r="T310" s="64"/>
    </row>
    <row r="311" spans="1:20" x14ac:dyDescent="0.25">
      <c r="C311" s="118"/>
      <c r="D311" s="54"/>
      <c r="E311" s="323"/>
      <c r="F311" s="54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1:20" x14ac:dyDescent="0.25">
      <c r="C312" s="1"/>
      <c r="E312" s="307">
        <f>+E308</f>
        <v>43850770</v>
      </c>
      <c r="F312" s="54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1:20" x14ac:dyDescent="0.25">
      <c r="A313" s="155"/>
      <c r="B313" s="155"/>
      <c r="C313" s="174"/>
      <c r="D313" s="177" t="s">
        <v>7167</v>
      </c>
      <c r="E313" s="324">
        <f>+E312-LinkFromRateBase!G131</f>
        <v>0</v>
      </c>
      <c r="F313" s="176"/>
      <c r="G313" s="15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55"/>
    </row>
    <row r="314" spans="1:20" x14ac:dyDescent="0.25">
      <c r="A314" s="170"/>
      <c r="B314" s="170"/>
      <c r="C314" s="170"/>
      <c r="D314" s="170"/>
      <c r="E314" s="307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</row>
    <row r="315" spans="1:20" x14ac:dyDescent="0.25">
      <c r="A315" s="4" t="s">
        <v>7018</v>
      </c>
      <c r="B315" s="54"/>
      <c r="C315" s="54"/>
    </row>
    <row r="316" spans="1:20" x14ac:dyDescent="0.25">
      <c r="A316" s="54"/>
      <c r="B316" s="4" t="s">
        <v>20</v>
      </c>
      <c r="C316" s="4"/>
    </row>
    <row r="317" spans="1:20" x14ac:dyDescent="0.25">
      <c r="A317" s="88"/>
      <c r="B317" s="89"/>
      <c r="C317" s="2" t="s">
        <v>7975</v>
      </c>
      <c r="E317" s="306">
        <f>+'COSS Step 1'!F9</f>
        <v>37131</v>
      </c>
      <c r="F317" s="36">
        <v>5</v>
      </c>
      <c r="G317" t="str">
        <f>INDEX('Allocator Summary'!$B$8:$B$28,MATCH($F317,'Allocator Summary'!$A$8:$A$28))</f>
        <v>Net Plant (less gen. and int.)</v>
      </c>
      <c r="H317" s="64">
        <f>INDEX('Allocator Summary'!C$8:C$28,MATCH($F317,'Allocator Summary'!$A$8:$A$28))*$E317</f>
        <v>811.15348927949708</v>
      </c>
      <c r="I317" s="64">
        <f>INDEX('Allocator Summary'!D$8:D$28,MATCH($F317,'Allocator Summary'!$A$8:$A$28))*$E317</f>
        <v>2210.0284570775261</v>
      </c>
      <c r="J317" s="64">
        <f>INDEX('Allocator Summary'!E$8:E$28,MATCH($F317,'Allocator Summary'!$A$8:$A$28))*$E317</f>
        <v>5409.131585285435</v>
      </c>
      <c r="K317" s="64">
        <f>INDEX('Allocator Summary'!F$8:F$28,MATCH($F317,'Allocator Summary'!$A$8:$A$28))*$E317</f>
        <v>7603.9016791851955</v>
      </c>
      <c r="L317" s="64">
        <f>INDEX('Allocator Summary'!G$8:G$28,MATCH($F317,'Allocator Summary'!$A$8:$A$28))*$E317</f>
        <v>13798.845910052361</v>
      </c>
      <c r="M317" s="64">
        <f>INDEX('Allocator Summary'!H$8:H$28,MATCH($F317,'Allocator Summary'!$A$8:$A$28))*$E317</f>
        <v>1267.1954791147241</v>
      </c>
      <c r="N317" s="64">
        <f>INDEX('Allocator Summary'!I$8:I$28,MATCH($F317,'Allocator Summary'!$A$8:$A$28))*$E317</f>
        <v>2052.3998135983011</v>
      </c>
      <c r="O317" s="64">
        <f>INDEX('Allocator Summary'!J$8:J$26,MATCH($F317,'Allocator Summary'!$A$8:$A$28))*$E317</f>
        <v>800.2538703798549</v>
      </c>
      <c r="P317" s="64">
        <f>INDEX('Allocator Summary'!K$8:K$26,MATCH($F317,'Allocator Summary'!$A$8:$A$28))*$E317</f>
        <v>660.20682783335565</v>
      </c>
      <c r="Q317" s="64">
        <f>INDEX('Allocator Summary'!L$8:L$28,MATCH($F317,'Allocator Summary'!$A$8:$A$28))*$E317</f>
        <v>2517.8828881937529</v>
      </c>
      <c r="R317" s="64">
        <f t="shared" ref="R317:R319" si="128">SUM(H317:Q317)</f>
        <v>37131</v>
      </c>
      <c r="S317" s="64">
        <f>R317-E317</f>
        <v>0</v>
      </c>
    </row>
    <row r="318" spans="1:20" x14ac:dyDescent="0.25">
      <c r="A318" s="90"/>
      <c r="B318" s="89"/>
      <c r="C318" s="2" t="s">
        <v>7977</v>
      </c>
      <c r="E318" s="306">
        <f>+'COSS Step 1'!F10</f>
        <v>0</v>
      </c>
      <c r="F318" s="36">
        <v>5</v>
      </c>
      <c r="G318" t="str">
        <f>INDEX('Allocator Summary'!$B$8:$B$28,MATCH($F318,'Allocator Summary'!$A$8:$A$28))</f>
        <v>Net Plant (less gen. and int.)</v>
      </c>
      <c r="H318" s="64">
        <f>INDEX('Allocator Summary'!C$8:C$28,MATCH($F318,'Allocator Summary'!$A$8:$A$28))*$E318</f>
        <v>0</v>
      </c>
      <c r="I318" s="64">
        <f>INDEX('Allocator Summary'!D$8:D$28,MATCH($F318,'Allocator Summary'!$A$8:$A$28))*$E318</f>
        <v>0</v>
      </c>
      <c r="J318" s="64">
        <f>INDEX('Allocator Summary'!E$8:E$28,MATCH($F318,'Allocator Summary'!$A$8:$A$28))*$E318</f>
        <v>0</v>
      </c>
      <c r="K318" s="64">
        <f>INDEX('Allocator Summary'!F$8:F$28,MATCH($F318,'Allocator Summary'!$A$8:$A$28))*$E318</f>
        <v>0</v>
      </c>
      <c r="L318" s="64">
        <f>INDEX('Allocator Summary'!G$8:G$28,MATCH($F318,'Allocator Summary'!$A$8:$A$28))*$E318</f>
        <v>0</v>
      </c>
      <c r="M318" s="64">
        <f>INDEX('Allocator Summary'!H$8:H$28,MATCH($F318,'Allocator Summary'!$A$8:$A$28))*$E318</f>
        <v>0</v>
      </c>
      <c r="N318" s="64">
        <f>INDEX('Allocator Summary'!I$8:I$28,MATCH($F318,'Allocator Summary'!$A$8:$A$28))*$E318</f>
        <v>0</v>
      </c>
      <c r="O318" s="64">
        <f>INDEX('Allocator Summary'!J$8:J$26,MATCH($F318,'Allocator Summary'!$A$8:$A$28))*$E318</f>
        <v>0</v>
      </c>
      <c r="P318" s="64">
        <f>INDEX('Allocator Summary'!K$8:K$26,MATCH($F318,'Allocator Summary'!$A$8:$A$28))*$E318</f>
        <v>0</v>
      </c>
      <c r="Q318" s="64">
        <f>INDEX('Allocator Summary'!L$8:L$28,MATCH($F318,'Allocator Summary'!$A$8:$A$28))*$E318</f>
        <v>0</v>
      </c>
      <c r="R318" s="64">
        <f t="shared" si="128"/>
        <v>0</v>
      </c>
      <c r="S318" s="64">
        <f>R318-E318</f>
        <v>0</v>
      </c>
    </row>
    <row r="319" spans="1:20" x14ac:dyDescent="0.25">
      <c r="A319" s="88"/>
      <c r="B319" s="89"/>
      <c r="C319" s="2" t="s">
        <v>7979</v>
      </c>
      <c r="E319" s="306">
        <f>+'COSS Step 1'!F11</f>
        <v>220352.5</v>
      </c>
      <c r="F319" s="36">
        <v>5</v>
      </c>
      <c r="G319" t="str">
        <f>INDEX('Allocator Summary'!$B$8:$B$28,MATCH($F319,'Allocator Summary'!$A$8:$A$28))</f>
        <v>Net Plant (less gen. and int.)</v>
      </c>
      <c r="H319" s="64">
        <f>INDEX('Allocator Summary'!C$8:C$28,MATCH($F319,'Allocator Summary'!$A$8:$A$28))*$E319</f>
        <v>4813.7593721273433</v>
      </c>
      <c r="I319" s="64">
        <f>INDEX('Allocator Summary'!D$8:D$28,MATCH($F319,'Allocator Summary'!$A$8:$A$28))*$E319</f>
        <v>13115.329390217757</v>
      </c>
      <c r="J319" s="64">
        <f>INDEX('Allocator Summary'!E$8:E$28,MATCH($F319,'Allocator Summary'!$A$8:$A$28))*$E319</f>
        <v>32100.284604417029</v>
      </c>
      <c r="K319" s="64">
        <f>INDEX('Allocator Summary'!F$8:F$28,MATCH($F319,'Allocator Summary'!$A$8:$A$28))*$E319</f>
        <v>45125.063821676114</v>
      </c>
      <c r="L319" s="64">
        <f>INDEX('Allocator Summary'!G$8:G$28,MATCH($F319,'Allocator Summary'!$A$8:$A$28))*$E319</f>
        <v>81888.723530064177</v>
      </c>
      <c r="M319" s="64">
        <f>INDEX('Allocator Summary'!H$8:H$28,MATCH($F319,'Allocator Summary'!$A$8:$A$28))*$E319</f>
        <v>7520.1231265418992</v>
      </c>
      <c r="N319" s="64">
        <f>INDEX('Allocator Summary'!I$8:I$28,MATCH($F319,'Allocator Summary'!$A$8:$A$28))*$E319</f>
        <v>12179.888231556371</v>
      </c>
      <c r="O319" s="64">
        <f>INDEX('Allocator Summary'!J$8:J$26,MATCH($F319,'Allocator Summary'!$A$8:$A$28))*$E319</f>
        <v>4749.0760004545255</v>
      </c>
      <c r="P319" s="64">
        <f>INDEX('Allocator Summary'!K$8:K$26,MATCH($F319,'Allocator Summary'!$A$8:$A$28))*$E319</f>
        <v>3917.9721803923808</v>
      </c>
      <c r="Q319" s="64">
        <f>INDEX('Allocator Summary'!L$8:L$28,MATCH($F319,'Allocator Summary'!$A$8:$A$28))*$E319</f>
        <v>14942.27974255242</v>
      </c>
      <c r="R319" s="64">
        <f t="shared" si="128"/>
        <v>220352.50000000003</v>
      </c>
      <c r="S319" s="64">
        <f>R319-E319</f>
        <v>0</v>
      </c>
    </row>
    <row r="320" spans="1:20" x14ac:dyDescent="0.25">
      <c r="A320" s="88"/>
      <c r="B320" s="91"/>
      <c r="E320" s="325"/>
    </row>
    <row r="321" spans="1:19" x14ac:dyDescent="0.25">
      <c r="A321" s="88"/>
      <c r="B321" s="91" t="s">
        <v>23</v>
      </c>
      <c r="C321" s="4"/>
    </row>
    <row r="322" spans="1:19" x14ac:dyDescent="0.25">
      <c r="A322" s="88"/>
      <c r="B322" s="89"/>
      <c r="C322" s="2" t="s">
        <v>7981</v>
      </c>
      <c r="E322" s="306">
        <f>+'COSS Step 1'!F14</f>
        <v>24303</v>
      </c>
      <c r="F322" s="36" t="s">
        <v>7000</v>
      </c>
      <c r="G322" t="str">
        <f>INDEX('Allocator Summary'!$B$8:$B$28,MATCH($F322,'Allocator Summary'!$A$8:$A$28))</f>
        <v>Source of Supply</v>
      </c>
      <c r="H322" s="64">
        <f>INDEX('Allocator Summary'!C$8:C$28,MATCH($F322,'Allocator Summary'!$A$8:$A$28))*$E322</f>
        <v>24303</v>
      </c>
      <c r="I322" s="64">
        <f>INDEX('Allocator Summary'!D$8:D$28,MATCH($F322,'Allocator Summary'!$A$8:$A$28))*$E322</f>
        <v>0</v>
      </c>
      <c r="J322" s="64">
        <f>INDEX('Allocator Summary'!E$8:E$28,MATCH($F322,'Allocator Summary'!$A$8:$A$28))*$E322</f>
        <v>0</v>
      </c>
      <c r="K322" s="64">
        <f>INDEX('Allocator Summary'!F$8:F$28,MATCH($F322,'Allocator Summary'!$A$8:$A$28))*$E322</f>
        <v>0</v>
      </c>
      <c r="L322" s="64">
        <f>INDEX('Allocator Summary'!G$8:G$28,MATCH($F322,'Allocator Summary'!$A$8:$A$28))*$E322</f>
        <v>0</v>
      </c>
      <c r="M322" s="64">
        <f>INDEX('Allocator Summary'!H$8:H$28,MATCH($F322,'Allocator Summary'!$A$8:$A$28))*$E322</f>
        <v>0</v>
      </c>
      <c r="N322" s="64">
        <f>INDEX('Allocator Summary'!I$8:I$28,MATCH($F322,'Allocator Summary'!$A$8:$A$28))*$E322</f>
        <v>0</v>
      </c>
      <c r="O322" s="64">
        <f>INDEX('Allocator Summary'!J$8:J$26,MATCH($F322,'Allocator Summary'!$A$8:$A$28))*$E322</f>
        <v>0</v>
      </c>
      <c r="P322" s="64">
        <f>INDEX('Allocator Summary'!K$8:K$26,MATCH($F322,'Allocator Summary'!$A$8:$A$28))*$E322</f>
        <v>0</v>
      </c>
      <c r="Q322" s="64">
        <f>INDEX('Allocator Summary'!L$8:L$28,MATCH($F322,'Allocator Summary'!$A$8:$A$28))*$E322</f>
        <v>0</v>
      </c>
      <c r="R322" s="64">
        <f t="shared" ref="R322:R326" si="129">SUM(H322:Q322)</f>
        <v>24303</v>
      </c>
      <c r="S322" s="64">
        <f>R322-E322</f>
        <v>0</v>
      </c>
    </row>
    <row r="323" spans="1:19" x14ac:dyDescent="0.25">
      <c r="A323" s="90"/>
      <c r="B323" s="89"/>
      <c r="C323" s="2" t="s">
        <v>7983</v>
      </c>
      <c r="E323" s="306">
        <f>+'COSS Step 1'!F15</f>
        <v>1357393.5</v>
      </c>
      <c r="F323" s="36" t="s">
        <v>7000</v>
      </c>
      <c r="G323" t="str">
        <f>INDEX('Allocator Summary'!$B$8:$B$28,MATCH($F323,'Allocator Summary'!$A$8:$A$28))</f>
        <v>Source of Supply</v>
      </c>
      <c r="H323" s="64">
        <f>INDEX('Allocator Summary'!C$8:C$28,MATCH($F323,'Allocator Summary'!$A$8:$A$28))*$E323</f>
        <v>1357393.5</v>
      </c>
      <c r="I323" s="64">
        <f>INDEX('Allocator Summary'!D$8:D$28,MATCH($F323,'Allocator Summary'!$A$8:$A$28))*$E323</f>
        <v>0</v>
      </c>
      <c r="J323" s="64">
        <f>INDEX('Allocator Summary'!E$8:E$28,MATCH($F323,'Allocator Summary'!$A$8:$A$28))*$E323</f>
        <v>0</v>
      </c>
      <c r="K323" s="64">
        <f>INDEX('Allocator Summary'!F$8:F$28,MATCH($F323,'Allocator Summary'!$A$8:$A$28))*$E323</f>
        <v>0</v>
      </c>
      <c r="L323" s="64">
        <f>INDEX('Allocator Summary'!G$8:G$28,MATCH($F323,'Allocator Summary'!$A$8:$A$28))*$E323</f>
        <v>0</v>
      </c>
      <c r="M323" s="64">
        <f>INDEX('Allocator Summary'!H$8:H$28,MATCH($F323,'Allocator Summary'!$A$8:$A$28))*$E323</f>
        <v>0</v>
      </c>
      <c r="N323" s="64">
        <f>INDEX('Allocator Summary'!I$8:I$28,MATCH($F323,'Allocator Summary'!$A$8:$A$28))*$E323</f>
        <v>0</v>
      </c>
      <c r="O323" s="64">
        <f>INDEX('Allocator Summary'!J$8:J$26,MATCH($F323,'Allocator Summary'!$A$8:$A$28))*$E323</f>
        <v>0</v>
      </c>
      <c r="P323" s="64">
        <f>INDEX('Allocator Summary'!K$8:K$26,MATCH($F323,'Allocator Summary'!$A$8:$A$28))*$E323</f>
        <v>0</v>
      </c>
      <c r="Q323" s="64">
        <f>INDEX('Allocator Summary'!L$8:L$28,MATCH($F323,'Allocator Summary'!$A$8:$A$28))*$E323</f>
        <v>0</v>
      </c>
      <c r="R323" s="64">
        <f t="shared" si="129"/>
        <v>1357393.5</v>
      </c>
      <c r="S323" s="64">
        <f>R323-E323</f>
        <v>0</v>
      </c>
    </row>
    <row r="324" spans="1:19" x14ac:dyDescent="0.25">
      <c r="A324" s="90"/>
      <c r="B324" s="89"/>
      <c r="C324" s="2" t="s">
        <v>7985</v>
      </c>
      <c r="E324" s="306">
        <f>+'COSS Step 1'!F16</f>
        <v>50850</v>
      </c>
      <c r="F324" s="36" t="s">
        <v>7000</v>
      </c>
      <c r="G324" t="str">
        <f>INDEX('Allocator Summary'!$B$8:$B$28,MATCH($F324,'Allocator Summary'!$A$8:$A$28))</f>
        <v>Source of Supply</v>
      </c>
      <c r="H324" s="64">
        <f>INDEX('Allocator Summary'!C$8:C$28,MATCH($F324,'Allocator Summary'!$A$8:$A$28))*$E324</f>
        <v>50850</v>
      </c>
      <c r="I324" s="64">
        <f>INDEX('Allocator Summary'!D$8:D$28,MATCH($F324,'Allocator Summary'!$A$8:$A$28))*$E324</f>
        <v>0</v>
      </c>
      <c r="J324" s="64">
        <f>INDEX('Allocator Summary'!E$8:E$28,MATCH($F324,'Allocator Summary'!$A$8:$A$28))*$E324</f>
        <v>0</v>
      </c>
      <c r="K324" s="64">
        <f>INDEX('Allocator Summary'!F$8:F$28,MATCH($F324,'Allocator Summary'!$A$8:$A$28))*$E324</f>
        <v>0</v>
      </c>
      <c r="L324" s="64">
        <f>INDEX('Allocator Summary'!G$8:G$28,MATCH($F324,'Allocator Summary'!$A$8:$A$28))*$E324</f>
        <v>0</v>
      </c>
      <c r="M324" s="64">
        <f>INDEX('Allocator Summary'!H$8:H$28,MATCH($F324,'Allocator Summary'!$A$8:$A$28))*$E324</f>
        <v>0</v>
      </c>
      <c r="N324" s="64">
        <f>INDEX('Allocator Summary'!I$8:I$28,MATCH($F324,'Allocator Summary'!$A$8:$A$28))*$E324</f>
        <v>0</v>
      </c>
      <c r="O324" s="64">
        <f>INDEX('Allocator Summary'!J$8:J$26,MATCH($F324,'Allocator Summary'!$A$8:$A$28))*$E324</f>
        <v>0</v>
      </c>
      <c r="P324" s="64">
        <f>INDEX('Allocator Summary'!K$8:K$26,MATCH($F324,'Allocator Summary'!$A$8:$A$28))*$E324</f>
        <v>0</v>
      </c>
      <c r="Q324" s="64">
        <f>INDEX('Allocator Summary'!L$8:L$28,MATCH($F324,'Allocator Summary'!$A$8:$A$28))*$E324</f>
        <v>0</v>
      </c>
      <c r="R324" s="64">
        <f t="shared" si="129"/>
        <v>50850</v>
      </c>
      <c r="S324" s="64">
        <f>R324-E324</f>
        <v>0</v>
      </c>
    </row>
    <row r="325" spans="1:19" x14ac:dyDescent="0.25">
      <c r="A325" s="90"/>
      <c r="B325" s="89"/>
      <c r="C325" s="2" t="s">
        <v>7987</v>
      </c>
      <c r="E325" s="306">
        <f>+'COSS Step 1'!F17</f>
        <v>2534508.5</v>
      </c>
      <c r="F325" s="36" t="s">
        <v>7000</v>
      </c>
      <c r="G325" t="str">
        <f>INDEX('Allocator Summary'!$B$8:$B$28,MATCH($F325,'Allocator Summary'!$A$8:$A$28))</f>
        <v>Source of Supply</v>
      </c>
      <c r="H325" s="64">
        <f>INDEX('Allocator Summary'!C$8:C$28,MATCH($F325,'Allocator Summary'!$A$8:$A$28))*$E325</f>
        <v>2534508.5</v>
      </c>
      <c r="I325" s="64">
        <f>INDEX('Allocator Summary'!D$8:D$28,MATCH($F325,'Allocator Summary'!$A$8:$A$28))*$E325</f>
        <v>0</v>
      </c>
      <c r="J325" s="64">
        <f>INDEX('Allocator Summary'!E$8:E$28,MATCH($F325,'Allocator Summary'!$A$8:$A$28))*$E325</f>
        <v>0</v>
      </c>
      <c r="K325" s="64">
        <f>INDEX('Allocator Summary'!F$8:F$28,MATCH($F325,'Allocator Summary'!$A$8:$A$28))*$E325</f>
        <v>0</v>
      </c>
      <c r="L325" s="64">
        <f>INDEX('Allocator Summary'!G$8:G$28,MATCH($F325,'Allocator Summary'!$A$8:$A$28))*$E325</f>
        <v>0</v>
      </c>
      <c r="M325" s="64">
        <f>INDEX('Allocator Summary'!H$8:H$28,MATCH($F325,'Allocator Summary'!$A$8:$A$28))*$E325</f>
        <v>0</v>
      </c>
      <c r="N325" s="64">
        <f>INDEX('Allocator Summary'!I$8:I$28,MATCH($F325,'Allocator Summary'!$A$8:$A$28))*$E325</f>
        <v>0</v>
      </c>
      <c r="O325" s="64">
        <f>INDEX('Allocator Summary'!J$8:J$26,MATCH($F325,'Allocator Summary'!$A$8:$A$28))*$E325</f>
        <v>0</v>
      </c>
      <c r="P325" s="64">
        <f>INDEX('Allocator Summary'!K$8:K$26,MATCH($F325,'Allocator Summary'!$A$8:$A$28))*$E325</f>
        <v>0</v>
      </c>
      <c r="Q325" s="64">
        <f>INDEX('Allocator Summary'!L$8:L$28,MATCH($F325,'Allocator Summary'!$A$8:$A$28))*$E325</f>
        <v>0</v>
      </c>
      <c r="R325" s="64">
        <f t="shared" si="129"/>
        <v>2534508.5</v>
      </c>
      <c r="S325" s="64">
        <f>R325-E325</f>
        <v>0</v>
      </c>
    </row>
    <row r="326" spans="1:19" x14ac:dyDescent="0.25">
      <c r="A326" s="90"/>
      <c r="B326" s="89"/>
      <c r="C326" s="2" t="s">
        <v>7989</v>
      </c>
      <c r="E326" s="306">
        <f>+'COSS Step 1'!F18</f>
        <v>63105</v>
      </c>
      <c r="F326" s="36" t="s">
        <v>7000</v>
      </c>
      <c r="G326" t="str">
        <f>INDEX('Allocator Summary'!$B$8:$B$28,MATCH($F326,'Allocator Summary'!$A$8:$A$28))</f>
        <v>Source of Supply</v>
      </c>
      <c r="H326" s="64">
        <f>INDEX('Allocator Summary'!C$8:C$28,MATCH($F326,'Allocator Summary'!$A$8:$A$28))*$E326</f>
        <v>63105</v>
      </c>
      <c r="I326" s="64">
        <f>INDEX('Allocator Summary'!D$8:D$28,MATCH($F326,'Allocator Summary'!$A$8:$A$28))*$E326</f>
        <v>0</v>
      </c>
      <c r="J326" s="64">
        <f>INDEX('Allocator Summary'!E$8:E$28,MATCH($F326,'Allocator Summary'!$A$8:$A$28))*$E326</f>
        <v>0</v>
      </c>
      <c r="K326" s="64">
        <f>INDEX('Allocator Summary'!F$8:F$28,MATCH($F326,'Allocator Summary'!$A$8:$A$28))*$E326</f>
        <v>0</v>
      </c>
      <c r="L326" s="64">
        <f>INDEX('Allocator Summary'!G$8:G$28,MATCH($F326,'Allocator Summary'!$A$8:$A$28))*$E326</f>
        <v>0</v>
      </c>
      <c r="M326" s="64">
        <f>INDEX('Allocator Summary'!H$8:H$28,MATCH($F326,'Allocator Summary'!$A$8:$A$28))*$E326</f>
        <v>0</v>
      </c>
      <c r="N326" s="64">
        <f>INDEX('Allocator Summary'!I$8:I$28,MATCH($F326,'Allocator Summary'!$A$8:$A$28))*$E326</f>
        <v>0</v>
      </c>
      <c r="O326" s="64">
        <f>INDEX('Allocator Summary'!J$8:J$26,MATCH($F326,'Allocator Summary'!$A$8:$A$28))*$E326</f>
        <v>0</v>
      </c>
      <c r="P326" s="64">
        <f>INDEX('Allocator Summary'!K$8:K$26,MATCH($F326,'Allocator Summary'!$A$8:$A$28))*$E326</f>
        <v>0</v>
      </c>
      <c r="Q326" s="64">
        <f>INDEX('Allocator Summary'!L$8:L$28,MATCH($F326,'Allocator Summary'!$A$8:$A$28))*$E326</f>
        <v>0</v>
      </c>
      <c r="R326" s="64">
        <f t="shared" si="129"/>
        <v>63105</v>
      </c>
      <c r="S326" s="64">
        <f>R326-E326</f>
        <v>0</v>
      </c>
    </row>
    <row r="327" spans="1:19" x14ac:dyDescent="0.25">
      <c r="A327" s="54"/>
      <c r="B327" s="92"/>
      <c r="C327" s="54"/>
      <c r="E327" s="326"/>
    </row>
    <row r="328" spans="1:19" x14ac:dyDescent="0.25">
      <c r="A328" s="54"/>
      <c r="B328" s="91" t="s">
        <v>7019</v>
      </c>
      <c r="C328" s="4"/>
      <c r="E328" s="326"/>
    </row>
    <row r="329" spans="1:19" x14ac:dyDescent="0.25">
      <c r="A329" s="88"/>
      <c r="B329" s="89"/>
      <c r="C329" s="15" t="s">
        <v>7991</v>
      </c>
      <c r="E329" s="306">
        <f>+'COSS Step 1'!F21</f>
        <v>261818</v>
      </c>
      <c r="F329" s="36" t="s">
        <v>7003</v>
      </c>
      <c r="G329" t="str">
        <f>INDEX('Allocator Summary'!$B$8:$B$28,MATCH($F329,'Allocator Summary'!$A$8:$A$28))</f>
        <v>Pumping</v>
      </c>
      <c r="H329" s="64">
        <f>INDEX('Allocator Summary'!C$8:C$28,MATCH($F329,'Allocator Summary'!$A$8:$A$28))*$E329</f>
        <v>0</v>
      </c>
      <c r="I329" s="64">
        <f>INDEX('Allocator Summary'!D$8:D$28,MATCH($F329,'Allocator Summary'!$A$8:$A$28))*$E329</f>
        <v>261818</v>
      </c>
      <c r="J329" s="64">
        <f>INDEX('Allocator Summary'!E$8:E$28,MATCH($F329,'Allocator Summary'!$A$8:$A$28))*$E329</f>
        <v>0</v>
      </c>
      <c r="K329" s="64">
        <f>INDEX('Allocator Summary'!F$8:F$28,MATCH($F329,'Allocator Summary'!$A$8:$A$28))*$E329</f>
        <v>0</v>
      </c>
      <c r="L329" s="64">
        <f>INDEX('Allocator Summary'!G$8:G$28,MATCH($F329,'Allocator Summary'!$A$8:$A$28))*$E329</f>
        <v>0</v>
      </c>
      <c r="M329" s="64">
        <f>INDEX('Allocator Summary'!H$8:H$28,MATCH($F329,'Allocator Summary'!$A$8:$A$28))*$E329</f>
        <v>0</v>
      </c>
      <c r="N329" s="64">
        <f>INDEX('Allocator Summary'!I$8:I$28,MATCH($F329,'Allocator Summary'!$A$8:$A$28))*$E329</f>
        <v>0</v>
      </c>
      <c r="O329" s="64">
        <f>INDEX('Allocator Summary'!J$8:J$26,MATCH($F329,'Allocator Summary'!$A$8:$A$28))*$E329</f>
        <v>0</v>
      </c>
      <c r="P329" s="64">
        <f>INDEX('Allocator Summary'!K$8:K$26,MATCH($F329,'Allocator Summary'!$A$8:$A$28))*$E329</f>
        <v>0</v>
      </c>
      <c r="Q329" s="64">
        <f>INDEX('Allocator Summary'!L$8:L$28,MATCH($F329,'Allocator Summary'!$A$8:$A$28))*$E329</f>
        <v>0</v>
      </c>
      <c r="R329" s="64">
        <f t="shared" ref="R329:R333" si="130">SUM(H329:Q329)</f>
        <v>261818</v>
      </c>
      <c r="S329" s="64">
        <f>R329-E329</f>
        <v>0</v>
      </c>
    </row>
    <row r="330" spans="1:19" x14ac:dyDescent="0.25">
      <c r="A330" s="90"/>
      <c r="B330" s="89"/>
      <c r="C330" s="2" t="s">
        <v>7993</v>
      </c>
      <c r="E330" s="306">
        <f>+'COSS Step 1'!F22</f>
        <v>3850765</v>
      </c>
      <c r="F330" s="36" t="s">
        <v>7003</v>
      </c>
      <c r="G330" t="str">
        <f>INDEX('Allocator Summary'!$B$8:$B$28,MATCH($F330,'Allocator Summary'!$A$8:$A$28))</f>
        <v>Pumping</v>
      </c>
      <c r="H330" s="64">
        <f>INDEX('Allocator Summary'!C$8:C$28,MATCH($F330,'Allocator Summary'!$A$8:$A$28))*$E330</f>
        <v>0</v>
      </c>
      <c r="I330" s="64">
        <f>INDEX('Allocator Summary'!D$8:D$28,MATCH($F330,'Allocator Summary'!$A$8:$A$28))*$E330</f>
        <v>3850765</v>
      </c>
      <c r="J330" s="64">
        <f>INDEX('Allocator Summary'!E$8:E$28,MATCH($F330,'Allocator Summary'!$A$8:$A$28))*$E330</f>
        <v>0</v>
      </c>
      <c r="K330" s="64">
        <f>INDEX('Allocator Summary'!F$8:F$28,MATCH($F330,'Allocator Summary'!$A$8:$A$28))*$E330</f>
        <v>0</v>
      </c>
      <c r="L330" s="64">
        <f>INDEX('Allocator Summary'!G$8:G$28,MATCH($F330,'Allocator Summary'!$A$8:$A$28))*$E330</f>
        <v>0</v>
      </c>
      <c r="M330" s="64">
        <f>INDEX('Allocator Summary'!H$8:H$28,MATCH($F330,'Allocator Summary'!$A$8:$A$28))*$E330</f>
        <v>0</v>
      </c>
      <c r="N330" s="64">
        <f>INDEX('Allocator Summary'!I$8:I$28,MATCH($F330,'Allocator Summary'!$A$8:$A$28))*$E330</f>
        <v>0</v>
      </c>
      <c r="O330" s="64">
        <f>INDEX('Allocator Summary'!J$8:J$26,MATCH($F330,'Allocator Summary'!$A$8:$A$28))*$E330</f>
        <v>0</v>
      </c>
      <c r="P330" s="64">
        <f>INDEX('Allocator Summary'!K$8:K$26,MATCH($F330,'Allocator Summary'!$A$8:$A$28))*$E330</f>
        <v>0</v>
      </c>
      <c r="Q330" s="64">
        <f>INDEX('Allocator Summary'!L$8:L$28,MATCH($F330,'Allocator Summary'!$A$8:$A$28))*$E330</f>
        <v>0</v>
      </c>
      <c r="R330" s="64">
        <f t="shared" si="130"/>
        <v>3850765</v>
      </c>
      <c r="S330" s="64">
        <f>R330-E330</f>
        <v>0</v>
      </c>
    </row>
    <row r="331" spans="1:19" x14ac:dyDescent="0.25">
      <c r="A331" s="88"/>
      <c r="B331" s="89"/>
      <c r="C331" s="2" t="s">
        <v>7995</v>
      </c>
      <c r="E331" s="306">
        <f>+'COSS Step 1'!F23</f>
        <v>601432</v>
      </c>
      <c r="F331" s="36" t="s">
        <v>7003</v>
      </c>
      <c r="G331" t="str">
        <f>INDEX('Allocator Summary'!$B$8:$B$28,MATCH($F331,'Allocator Summary'!$A$8:$A$28))</f>
        <v>Pumping</v>
      </c>
      <c r="H331" s="64">
        <f>INDEX('Allocator Summary'!C$8:C$28,MATCH($F331,'Allocator Summary'!$A$8:$A$28))*$E331</f>
        <v>0</v>
      </c>
      <c r="I331" s="64">
        <f>INDEX('Allocator Summary'!D$8:D$28,MATCH($F331,'Allocator Summary'!$A$8:$A$28))*$E331</f>
        <v>601432</v>
      </c>
      <c r="J331" s="64">
        <f>INDEX('Allocator Summary'!E$8:E$28,MATCH($F331,'Allocator Summary'!$A$8:$A$28))*$E331</f>
        <v>0</v>
      </c>
      <c r="K331" s="64">
        <f>INDEX('Allocator Summary'!F$8:F$28,MATCH($F331,'Allocator Summary'!$A$8:$A$28))*$E331</f>
        <v>0</v>
      </c>
      <c r="L331" s="64">
        <f>INDEX('Allocator Summary'!G$8:G$28,MATCH($F331,'Allocator Summary'!$A$8:$A$28))*$E331</f>
        <v>0</v>
      </c>
      <c r="M331" s="64">
        <f>INDEX('Allocator Summary'!H$8:H$28,MATCH($F331,'Allocator Summary'!$A$8:$A$28))*$E331</f>
        <v>0</v>
      </c>
      <c r="N331" s="64">
        <f>INDEX('Allocator Summary'!I$8:I$28,MATCH($F331,'Allocator Summary'!$A$8:$A$28))*$E331</f>
        <v>0</v>
      </c>
      <c r="O331" s="64">
        <f>INDEX('Allocator Summary'!J$8:J$26,MATCH($F331,'Allocator Summary'!$A$8:$A$28))*$E331</f>
        <v>0</v>
      </c>
      <c r="P331" s="64">
        <f>INDEX('Allocator Summary'!K$8:K$26,MATCH($F331,'Allocator Summary'!$A$8:$A$28))*$E331</f>
        <v>0</v>
      </c>
      <c r="Q331" s="64">
        <f>INDEX('Allocator Summary'!L$8:L$28,MATCH($F331,'Allocator Summary'!$A$8:$A$28))*$E331</f>
        <v>0</v>
      </c>
      <c r="R331" s="64">
        <f t="shared" si="130"/>
        <v>601432</v>
      </c>
      <c r="S331" s="64">
        <f>R331-E331</f>
        <v>0</v>
      </c>
    </row>
    <row r="332" spans="1:19" x14ac:dyDescent="0.25">
      <c r="A332" s="88"/>
      <c r="B332" s="89"/>
      <c r="C332" s="2" t="s">
        <v>7997</v>
      </c>
      <c r="E332" s="306">
        <f>+'COSS Step 1'!F24</f>
        <v>4642807</v>
      </c>
      <c r="F332" s="36" t="s">
        <v>7003</v>
      </c>
      <c r="G332" t="str">
        <f>INDEX('Allocator Summary'!$B$8:$B$28,MATCH($F332,'Allocator Summary'!$A$8:$A$28))</f>
        <v>Pumping</v>
      </c>
      <c r="H332" s="64">
        <f>INDEX('Allocator Summary'!C$8:C$28,MATCH($F332,'Allocator Summary'!$A$8:$A$28))*$E332</f>
        <v>0</v>
      </c>
      <c r="I332" s="64">
        <f>INDEX('Allocator Summary'!D$8:D$28,MATCH($F332,'Allocator Summary'!$A$8:$A$28))*$E332</f>
        <v>4642807</v>
      </c>
      <c r="J332" s="64">
        <f>INDEX('Allocator Summary'!E$8:E$28,MATCH($F332,'Allocator Summary'!$A$8:$A$28))*$E332</f>
        <v>0</v>
      </c>
      <c r="K332" s="64">
        <f>INDEX('Allocator Summary'!F$8:F$28,MATCH($F332,'Allocator Summary'!$A$8:$A$28))*$E332</f>
        <v>0</v>
      </c>
      <c r="L332" s="64">
        <f>INDEX('Allocator Summary'!G$8:G$28,MATCH($F332,'Allocator Summary'!$A$8:$A$28))*$E332</f>
        <v>0</v>
      </c>
      <c r="M332" s="64">
        <f>INDEX('Allocator Summary'!H$8:H$28,MATCH($F332,'Allocator Summary'!$A$8:$A$28))*$E332</f>
        <v>0</v>
      </c>
      <c r="N332" s="64">
        <f>INDEX('Allocator Summary'!I$8:I$28,MATCH($F332,'Allocator Summary'!$A$8:$A$28))*$E332</f>
        <v>0</v>
      </c>
      <c r="O332" s="64">
        <f>INDEX('Allocator Summary'!J$8:J$26,MATCH($F332,'Allocator Summary'!$A$8:$A$28))*$E332</f>
        <v>0</v>
      </c>
      <c r="P332" s="64">
        <f>INDEX('Allocator Summary'!K$8:K$26,MATCH($F332,'Allocator Summary'!$A$8:$A$28))*$E332</f>
        <v>0</v>
      </c>
      <c r="Q332" s="64">
        <f>INDEX('Allocator Summary'!L$8:L$28,MATCH($F332,'Allocator Summary'!$A$8:$A$28))*$E332</f>
        <v>0</v>
      </c>
      <c r="R332" s="64">
        <f t="shared" si="130"/>
        <v>4642807</v>
      </c>
      <c r="S332" s="64">
        <f>R332-E332</f>
        <v>0</v>
      </c>
    </row>
    <row r="333" spans="1:19" x14ac:dyDescent="0.25">
      <c r="A333" s="90"/>
      <c r="B333" s="89"/>
      <c r="C333" s="2" t="s">
        <v>7999</v>
      </c>
      <c r="E333" s="306">
        <f>+'COSS Step 1'!F25</f>
        <v>52256.5</v>
      </c>
      <c r="F333" s="36" t="s">
        <v>7003</v>
      </c>
      <c r="G333" t="str">
        <f>INDEX('Allocator Summary'!$B$8:$B$28,MATCH($F333,'Allocator Summary'!$A$8:$A$28))</f>
        <v>Pumping</v>
      </c>
      <c r="H333" s="64">
        <f>INDEX('Allocator Summary'!C$8:C$28,MATCH($F333,'Allocator Summary'!$A$8:$A$28))*$E333</f>
        <v>0</v>
      </c>
      <c r="I333" s="64">
        <f>INDEX('Allocator Summary'!D$8:D$28,MATCH($F333,'Allocator Summary'!$A$8:$A$28))*$E333</f>
        <v>52256.5</v>
      </c>
      <c r="J333" s="64">
        <f>INDEX('Allocator Summary'!E$8:E$28,MATCH($F333,'Allocator Summary'!$A$8:$A$28))*$E333</f>
        <v>0</v>
      </c>
      <c r="K333" s="64">
        <f>INDEX('Allocator Summary'!F$8:F$28,MATCH($F333,'Allocator Summary'!$A$8:$A$28))*$E333</f>
        <v>0</v>
      </c>
      <c r="L333" s="64">
        <f>INDEX('Allocator Summary'!G$8:G$28,MATCH($F333,'Allocator Summary'!$A$8:$A$28))*$E333</f>
        <v>0</v>
      </c>
      <c r="M333" s="64">
        <f>INDEX('Allocator Summary'!H$8:H$28,MATCH($F333,'Allocator Summary'!$A$8:$A$28))*$E333</f>
        <v>0</v>
      </c>
      <c r="N333" s="64">
        <f>INDEX('Allocator Summary'!I$8:I$28,MATCH($F333,'Allocator Summary'!$A$8:$A$28))*$E333</f>
        <v>0</v>
      </c>
      <c r="O333" s="64">
        <f>INDEX('Allocator Summary'!J$8:J$26,MATCH($F333,'Allocator Summary'!$A$8:$A$28))*$E333</f>
        <v>0</v>
      </c>
      <c r="P333" s="64">
        <f>INDEX('Allocator Summary'!K$8:K$26,MATCH($F333,'Allocator Summary'!$A$8:$A$28))*$E333</f>
        <v>0</v>
      </c>
      <c r="Q333" s="64">
        <f>INDEX('Allocator Summary'!L$8:L$28,MATCH($F333,'Allocator Summary'!$A$8:$A$28))*$E333</f>
        <v>0</v>
      </c>
      <c r="R333" s="64">
        <f t="shared" si="130"/>
        <v>52256.5</v>
      </c>
      <c r="S333" s="64">
        <f>R333-E333</f>
        <v>0</v>
      </c>
    </row>
    <row r="334" spans="1:19" x14ac:dyDescent="0.25">
      <c r="A334" s="54"/>
      <c r="B334" s="92"/>
      <c r="C334" s="54"/>
      <c r="E334" s="326"/>
    </row>
    <row r="335" spans="1:19" x14ac:dyDescent="0.25">
      <c r="A335" s="54"/>
      <c r="B335" s="91" t="s">
        <v>9</v>
      </c>
      <c r="C335" s="54"/>
      <c r="E335" s="326"/>
    </row>
    <row r="336" spans="1:19" x14ac:dyDescent="0.25">
      <c r="A336" s="88"/>
      <c r="B336" s="89"/>
      <c r="C336" s="15" t="s">
        <v>8001</v>
      </c>
      <c r="E336" s="306">
        <f>+'COSS Step 1'!F28</f>
        <v>2874</v>
      </c>
      <c r="F336" s="36" t="s">
        <v>2209</v>
      </c>
      <c r="G336" t="str">
        <f>INDEX('Allocator Summary'!$B$8:$B$28,MATCH($F336,'Allocator Summary'!$A$8:$A$28))</f>
        <v>Water Treatment</v>
      </c>
      <c r="H336" s="64">
        <f>INDEX('Allocator Summary'!C$8:C$28,MATCH($F336,'Allocator Summary'!$A$8:$A$28))*$E336</f>
        <v>0</v>
      </c>
      <c r="I336" s="64">
        <f>INDEX('Allocator Summary'!D$8:D$28,MATCH($F336,'Allocator Summary'!$A$8:$A$28))*$E336</f>
        <v>0</v>
      </c>
      <c r="J336" s="64">
        <f>INDEX('Allocator Summary'!E$8:E$28,MATCH($F336,'Allocator Summary'!$A$8:$A$28))*$E336</f>
        <v>2874</v>
      </c>
      <c r="K336" s="64">
        <f>INDEX('Allocator Summary'!F$8:F$28,MATCH($F336,'Allocator Summary'!$A$8:$A$28))*$E336</f>
        <v>0</v>
      </c>
      <c r="L336" s="64">
        <f>INDEX('Allocator Summary'!G$8:G$28,MATCH($F336,'Allocator Summary'!$A$8:$A$28))*$E336</f>
        <v>0</v>
      </c>
      <c r="M336" s="64">
        <f>INDEX('Allocator Summary'!H$8:H$28,MATCH($F336,'Allocator Summary'!$A$8:$A$28))*$E336</f>
        <v>0</v>
      </c>
      <c r="N336" s="64">
        <f>INDEX('Allocator Summary'!I$8:I$28,MATCH($F336,'Allocator Summary'!$A$8:$A$28))*$E336</f>
        <v>0</v>
      </c>
      <c r="O336" s="64">
        <f>INDEX('Allocator Summary'!J$8:J$26,MATCH($F336,'Allocator Summary'!$A$8:$A$28))*$E336</f>
        <v>0</v>
      </c>
      <c r="P336" s="64">
        <f>INDEX('Allocator Summary'!K$8:K$26,MATCH($F336,'Allocator Summary'!$A$8:$A$28))*$E336</f>
        <v>0</v>
      </c>
      <c r="Q336" s="64">
        <f>INDEX('Allocator Summary'!L$8:L$28,MATCH($F336,'Allocator Summary'!$A$8:$A$28))*$E336</f>
        <v>0</v>
      </c>
      <c r="R336" s="64">
        <f t="shared" ref="R336:R340" si="131">SUM(H336:Q336)</f>
        <v>2874</v>
      </c>
      <c r="S336" s="64">
        <f t="shared" ref="S336:S341" si="132">R336-E336</f>
        <v>0</v>
      </c>
    </row>
    <row r="337" spans="1:19" x14ac:dyDescent="0.25">
      <c r="A337" s="88"/>
      <c r="B337" s="89"/>
      <c r="C337" s="2" t="s">
        <v>8003</v>
      </c>
      <c r="E337" s="306">
        <f>+'COSS Step 1'!F29</f>
        <v>11531202</v>
      </c>
      <c r="F337" s="36" t="s">
        <v>2209</v>
      </c>
      <c r="G337" t="str">
        <f>INDEX('Allocator Summary'!$B$8:$B$28,MATCH($F337,'Allocator Summary'!$A$8:$A$28))</f>
        <v>Water Treatment</v>
      </c>
      <c r="H337" s="64">
        <f>INDEX('Allocator Summary'!C$8:C$28,MATCH($F337,'Allocator Summary'!$A$8:$A$28))*$E337</f>
        <v>0</v>
      </c>
      <c r="I337" s="64">
        <f>INDEX('Allocator Summary'!D$8:D$28,MATCH($F337,'Allocator Summary'!$A$8:$A$28))*$E337</f>
        <v>0</v>
      </c>
      <c r="J337" s="64">
        <f>INDEX('Allocator Summary'!E$8:E$28,MATCH($F337,'Allocator Summary'!$A$8:$A$28))*$E337</f>
        <v>11531202</v>
      </c>
      <c r="K337" s="64">
        <f>INDEX('Allocator Summary'!F$8:F$28,MATCH($F337,'Allocator Summary'!$A$8:$A$28))*$E337</f>
        <v>0</v>
      </c>
      <c r="L337" s="64">
        <f>INDEX('Allocator Summary'!G$8:G$28,MATCH($F337,'Allocator Summary'!$A$8:$A$28))*$E337</f>
        <v>0</v>
      </c>
      <c r="M337" s="64">
        <f>INDEX('Allocator Summary'!H$8:H$28,MATCH($F337,'Allocator Summary'!$A$8:$A$28))*$E337</f>
        <v>0</v>
      </c>
      <c r="N337" s="64">
        <f>INDEX('Allocator Summary'!I$8:I$28,MATCH($F337,'Allocator Summary'!$A$8:$A$28))*$E337</f>
        <v>0</v>
      </c>
      <c r="O337" s="64">
        <f>INDEX('Allocator Summary'!J$8:J$26,MATCH($F337,'Allocator Summary'!$A$8:$A$28))*$E337</f>
        <v>0</v>
      </c>
      <c r="P337" s="64">
        <f>INDEX('Allocator Summary'!K$8:K$26,MATCH($F337,'Allocator Summary'!$A$8:$A$28))*$E337</f>
        <v>0</v>
      </c>
      <c r="Q337" s="64">
        <f>INDEX('Allocator Summary'!L$8:L$28,MATCH($F337,'Allocator Summary'!$A$8:$A$28))*$E337</f>
        <v>0</v>
      </c>
      <c r="R337" s="64">
        <f t="shared" si="131"/>
        <v>11531202</v>
      </c>
      <c r="S337" s="64">
        <f t="shared" si="132"/>
        <v>0</v>
      </c>
    </row>
    <row r="338" spans="1:19" x14ac:dyDescent="0.25">
      <c r="A338" s="88"/>
      <c r="B338" s="89"/>
      <c r="C338" s="2" t="s">
        <v>8005</v>
      </c>
      <c r="E338" s="306">
        <f>+'COSS Step 1'!F30</f>
        <v>0</v>
      </c>
      <c r="F338" s="36" t="s">
        <v>2209</v>
      </c>
      <c r="G338" t="str">
        <f>INDEX('Allocator Summary'!$B$8:$B$28,MATCH($F338,'Allocator Summary'!$A$8:$A$28))</f>
        <v>Water Treatment</v>
      </c>
      <c r="H338" s="64">
        <f>INDEX('Allocator Summary'!C$8:C$28,MATCH($F338,'Allocator Summary'!$A$8:$A$28))*$E338</f>
        <v>0</v>
      </c>
      <c r="I338" s="64">
        <f>INDEX('Allocator Summary'!D$8:D$28,MATCH($F338,'Allocator Summary'!$A$8:$A$28))*$E338</f>
        <v>0</v>
      </c>
      <c r="J338" s="64">
        <f>INDEX('Allocator Summary'!E$8:E$28,MATCH($F338,'Allocator Summary'!$A$8:$A$28))*$E338</f>
        <v>0</v>
      </c>
      <c r="K338" s="64">
        <f>INDEX('Allocator Summary'!F$8:F$28,MATCH($F338,'Allocator Summary'!$A$8:$A$28))*$E338</f>
        <v>0</v>
      </c>
      <c r="L338" s="64">
        <f>INDEX('Allocator Summary'!G$8:G$28,MATCH($F338,'Allocator Summary'!$A$8:$A$28))*$E338</f>
        <v>0</v>
      </c>
      <c r="M338" s="64">
        <f>INDEX('Allocator Summary'!H$8:H$28,MATCH($F338,'Allocator Summary'!$A$8:$A$28))*$E338</f>
        <v>0</v>
      </c>
      <c r="N338" s="64">
        <f>INDEX('Allocator Summary'!I$8:I$28,MATCH($F338,'Allocator Summary'!$A$8:$A$28))*$E338</f>
        <v>0</v>
      </c>
      <c r="O338" s="64">
        <f>INDEX('Allocator Summary'!J$8:J$26,MATCH($F338,'Allocator Summary'!$A$8:$A$28))*$E338</f>
        <v>0</v>
      </c>
      <c r="P338" s="64">
        <f>INDEX('Allocator Summary'!K$8:K$26,MATCH($F338,'Allocator Summary'!$A$8:$A$28))*$E338</f>
        <v>0</v>
      </c>
      <c r="Q338" s="64">
        <f>INDEX('Allocator Summary'!L$8:L$28,MATCH($F338,'Allocator Summary'!$A$8:$A$28))*$E338</f>
        <v>0</v>
      </c>
      <c r="R338" s="64">
        <f t="shared" si="131"/>
        <v>0</v>
      </c>
      <c r="S338" s="64">
        <f t="shared" si="132"/>
        <v>0</v>
      </c>
    </row>
    <row r="339" spans="1:19" x14ac:dyDescent="0.25">
      <c r="A339" s="88"/>
      <c r="B339" s="89"/>
      <c r="C339" s="2" t="s">
        <v>8007</v>
      </c>
      <c r="E339" s="306">
        <f>+'COSS Step 1'!F31</f>
        <v>15673463.5</v>
      </c>
      <c r="F339" s="36" t="s">
        <v>2209</v>
      </c>
      <c r="G339" t="str">
        <f>INDEX('Allocator Summary'!$B$8:$B$28,MATCH($F339,'Allocator Summary'!$A$8:$A$28))</f>
        <v>Water Treatment</v>
      </c>
      <c r="H339" s="64">
        <f>INDEX('Allocator Summary'!C$8:C$28,MATCH($F339,'Allocator Summary'!$A$8:$A$28))*$E339</f>
        <v>0</v>
      </c>
      <c r="I339" s="64">
        <f>INDEX('Allocator Summary'!D$8:D$28,MATCH($F339,'Allocator Summary'!$A$8:$A$28))*$E339</f>
        <v>0</v>
      </c>
      <c r="J339" s="64">
        <f>INDEX('Allocator Summary'!E$8:E$28,MATCH($F339,'Allocator Summary'!$A$8:$A$28))*$E339</f>
        <v>15673463.5</v>
      </c>
      <c r="K339" s="64">
        <f>INDEX('Allocator Summary'!F$8:F$28,MATCH($F339,'Allocator Summary'!$A$8:$A$28))*$E339</f>
        <v>0</v>
      </c>
      <c r="L339" s="64">
        <f>INDEX('Allocator Summary'!G$8:G$28,MATCH($F339,'Allocator Summary'!$A$8:$A$28))*$E339</f>
        <v>0</v>
      </c>
      <c r="M339" s="64">
        <f>INDEX('Allocator Summary'!H$8:H$28,MATCH($F339,'Allocator Summary'!$A$8:$A$28))*$E339</f>
        <v>0</v>
      </c>
      <c r="N339" s="64">
        <f>INDEX('Allocator Summary'!I$8:I$28,MATCH($F339,'Allocator Summary'!$A$8:$A$28))*$E339</f>
        <v>0</v>
      </c>
      <c r="O339" s="64">
        <f>INDEX('Allocator Summary'!J$8:J$26,MATCH($F339,'Allocator Summary'!$A$8:$A$28))*$E339</f>
        <v>0</v>
      </c>
      <c r="P339" s="64">
        <f>INDEX('Allocator Summary'!K$8:K$26,MATCH($F339,'Allocator Summary'!$A$8:$A$28))*$E339</f>
        <v>0</v>
      </c>
      <c r="Q339" s="64">
        <f>INDEX('Allocator Summary'!L$8:L$28,MATCH($F339,'Allocator Summary'!$A$8:$A$28))*$E339</f>
        <v>0</v>
      </c>
      <c r="R339" s="64">
        <f t="shared" si="131"/>
        <v>15673463.5</v>
      </c>
      <c r="S339" s="64">
        <f t="shared" si="132"/>
        <v>0</v>
      </c>
    </row>
    <row r="340" spans="1:19" x14ac:dyDescent="0.25">
      <c r="A340" s="88"/>
      <c r="B340" s="89"/>
      <c r="C340" s="2" t="s">
        <v>8009</v>
      </c>
      <c r="E340" s="306">
        <f>+'COSS Step 1'!F32</f>
        <v>-117865</v>
      </c>
      <c r="F340" s="36" t="s">
        <v>2209</v>
      </c>
      <c r="G340" t="str">
        <f>INDEX('Allocator Summary'!$B$8:$B$28,MATCH($F340,'Allocator Summary'!$A$8:$A$28))</f>
        <v>Water Treatment</v>
      </c>
      <c r="H340" s="64">
        <f>INDEX('Allocator Summary'!C$8:C$28,MATCH($F340,'Allocator Summary'!$A$8:$A$28))*$E340</f>
        <v>0</v>
      </c>
      <c r="I340" s="64">
        <f>INDEX('Allocator Summary'!D$8:D$28,MATCH($F340,'Allocator Summary'!$A$8:$A$28))*$E340</f>
        <v>0</v>
      </c>
      <c r="J340" s="64">
        <f>INDEX('Allocator Summary'!E$8:E$28,MATCH($F340,'Allocator Summary'!$A$8:$A$28))*$E340</f>
        <v>-117865</v>
      </c>
      <c r="K340" s="64">
        <f>INDEX('Allocator Summary'!F$8:F$28,MATCH($F340,'Allocator Summary'!$A$8:$A$28))*$E340</f>
        <v>0</v>
      </c>
      <c r="L340" s="64">
        <f>INDEX('Allocator Summary'!G$8:G$28,MATCH($F340,'Allocator Summary'!$A$8:$A$28))*$E340</f>
        <v>0</v>
      </c>
      <c r="M340" s="64">
        <f>INDEX('Allocator Summary'!H$8:H$28,MATCH($F340,'Allocator Summary'!$A$8:$A$28))*$E340</f>
        <v>0</v>
      </c>
      <c r="N340" s="64">
        <f>INDEX('Allocator Summary'!I$8:I$28,MATCH($F340,'Allocator Summary'!$A$8:$A$28))*$E340</f>
        <v>0</v>
      </c>
      <c r="O340" s="64">
        <f>INDEX('Allocator Summary'!J$8:J$26,MATCH($F340,'Allocator Summary'!$A$8:$A$28))*$E340</f>
        <v>0</v>
      </c>
      <c r="P340" s="64">
        <f>INDEX('Allocator Summary'!K$8:K$26,MATCH($F340,'Allocator Summary'!$A$8:$A$28))*$E340</f>
        <v>0</v>
      </c>
      <c r="Q340" s="64">
        <f>INDEX('Allocator Summary'!L$8:L$28,MATCH($F340,'Allocator Summary'!$A$8:$A$28))*$E340</f>
        <v>0</v>
      </c>
      <c r="R340" s="64">
        <f t="shared" si="131"/>
        <v>-117865</v>
      </c>
      <c r="S340" s="64">
        <f t="shared" si="132"/>
        <v>0</v>
      </c>
    </row>
    <row r="341" spans="1:19" x14ac:dyDescent="0.25">
      <c r="A341" s="88"/>
      <c r="B341" s="89"/>
      <c r="C341" s="2" t="s">
        <v>8011</v>
      </c>
      <c r="E341" s="306">
        <f>+'COSS Step 1'!F33</f>
        <v>34255</v>
      </c>
      <c r="F341" s="36" t="s">
        <v>2209</v>
      </c>
      <c r="G341" t="str">
        <f>INDEX('Allocator Summary'!$B$8:$B$28,MATCH($F341,'Allocator Summary'!$A$8:$A$28))</f>
        <v>Water Treatment</v>
      </c>
      <c r="H341" s="64">
        <f>INDEX('Allocator Summary'!C$8:C$28,MATCH($F341,'Allocator Summary'!$A$8:$A$28))*$E341</f>
        <v>0</v>
      </c>
      <c r="I341" s="64">
        <f>INDEX('Allocator Summary'!D$8:D$28,MATCH($F341,'Allocator Summary'!$A$8:$A$28))*$E341</f>
        <v>0</v>
      </c>
      <c r="J341" s="64">
        <f>INDEX('Allocator Summary'!E$8:E$28,MATCH($F341,'Allocator Summary'!$A$8:$A$28))*$E341</f>
        <v>34255</v>
      </c>
      <c r="K341" s="64">
        <f>INDEX('Allocator Summary'!F$8:F$28,MATCH($F341,'Allocator Summary'!$A$8:$A$28))*$E341</f>
        <v>0</v>
      </c>
      <c r="L341" s="64">
        <f>INDEX('Allocator Summary'!G$8:G$28,MATCH($F341,'Allocator Summary'!$A$8:$A$28))*$E341</f>
        <v>0</v>
      </c>
      <c r="M341" s="64">
        <f>INDEX('Allocator Summary'!H$8:H$28,MATCH($F341,'Allocator Summary'!$A$8:$A$28))*$E341</f>
        <v>0</v>
      </c>
      <c r="N341" s="64">
        <f>INDEX('Allocator Summary'!I$8:I$28,MATCH($F341,'Allocator Summary'!$A$8:$A$28))*$E341</f>
        <v>0</v>
      </c>
      <c r="O341" s="64">
        <f>INDEX('Allocator Summary'!J$8:J$26,MATCH($F341,'Allocator Summary'!$A$8:$A$28))*$E341</f>
        <v>0</v>
      </c>
      <c r="P341" s="64">
        <f>INDEX('Allocator Summary'!K$8:K$26,MATCH($F341,'Allocator Summary'!$A$8:$A$28))*$E341</f>
        <v>0</v>
      </c>
      <c r="Q341" s="64">
        <f>INDEX('Allocator Summary'!L$8:L$28,MATCH($F341,'Allocator Summary'!$A$8:$A$28))*$E341</f>
        <v>0</v>
      </c>
      <c r="R341" s="64">
        <f t="shared" ref="R341" si="133">SUM(H341:Q341)</f>
        <v>34255</v>
      </c>
      <c r="S341" s="64">
        <f t="shared" si="132"/>
        <v>0</v>
      </c>
    </row>
    <row r="342" spans="1:19" x14ac:dyDescent="0.25">
      <c r="A342" s="54"/>
      <c r="B342" s="92"/>
      <c r="C342" s="54"/>
      <c r="E342" s="326"/>
    </row>
    <row r="343" spans="1:19" x14ac:dyDescent="0.25">
      <c r="A343" s="54"/>
      <c r="B343" s="91" t="s">
        <v>8152</v>
      </c>
      <c r="C343" s="54"/>
      <c r="E343" s="326"/>
    </row>
    <row r="344" spans="1:19" x14ac:dyDescent="0.25">
      <c r="A344" s="88"/>
      <c r="B344" s="89"/>
      <c r="C344" s="15" t="s">
        <v>8013</v>
      </c>
      <c r="E344" s="306">
        <f>+'COSS Step 1'!F36</f>
        <v>549289</v>
      </c>
      <c r="F344" s="36" t="s">
        <v>2211</v>
      </c>
      <c r="G344" t="str">
        <f>INDEX('Allocator Summary'!$B$8:$B$28,MATCH($F344,'Allocator Summary'!$A$8:$A$28))</f>
        <v>Mains</v>
      </c>
      <c r="H344" s="64">
        <f>INDEX('Allocator Summary'!C$8:C$28,MATCH($F344,'Allocator Summary'!$A$8:$A$28))*$E344</f>
        <v>0</v>
      </c>
      <c r="I344" s="64">
        <f>INDEX('Allocator Summary'!D$8:D$28,MATCH($F344,'Allocator Summary'!$A$8:$A$28))*$E344</f>
        <v>0</v>
      </c>
      <c r="J344" s="64">
        <f>INDEX('Allocator Summary'!E$8:E$28,MATCH($F344,'Allocator Summary'!$A$8:$A$28))*$E344</f>
        <v>0</v>
      </c>
      <c r="K344" s="64">
        <f>INDEX('Allocator Summary'!F$8:F$28,MATCH($F344,'Allocator Summary'!$A$8:$A$28))*$E344</f>
        <v>136050.17738605157</v>
      </c>
      <c r="L344" s="64">
        <f>INDEX('Allocator Summary'!G$8:G$28,MATCH($F344,'Allocator Summary'!$A$8:$A$28))*$E344</f>
        <v>413238.82261394843</v>
      </c>
      <c r="M344" s="64">
        <f>INDEX('Allocator Summary'!H$8:H$28,MATCH($F344,'Allocator Summary'!$A$8:$A$28))*$E344</f>
        <v>0</v>
      </c>
      <c r="N344" s="64">
        <f>INDEX('Allocator Summary'!I$8:I$28,MATCH($F344,'Allocator Summary'!$A$8:$A$28))*$E344</f>
        <v>0</v>
      </c>
      <c r="O344" s="64">
        <f>INDEX('Allocator Summary'!J$8:J$26,MATCH($F344,'Allocator Summary'!$A$8:$A$28))*$E344</f>
        <v>0</v>
      </c>
      <c r="P344" s="64">
        <f>INDEX('Allocator Summary'!K$8:K$26,MATCH($F344,'Allocator Summary'!$A$8:$A$28))*$E344</f>
        <v>0</v>
      </c>
      <c r="Q344" s="64">
        <f>INDEX('Allocator Summary'!L$8:L$28,MATCH($F344,'Allocator Summary'!$A$8:$A$28))*$E344</f>
        <v>0</v>
      </c>
      <c r="R344" s="64">
        <f t="shared" ref="R344:R350" si="134">SUM(H344:Q344)</f>
        <v>549289</v>
      </c>
      <c r="S344" s="64">
        <f t="shared" ref="S344:S350" si="135">R344-E344</f>
        <v>0</v>
      </c>
    </row>
    <row r="345" spans="1:19" x14ac:dyDescent="0.25">
      <c r="A345" s="88"/>
      <c r="B345" s="89"/>
      <c r="C345" s="2" t="s">
        <v>8015</v>
      </c>
      <c r="E345" s="306">
        <f>+'COSS Step 1'!F37</f>
        <v>283117</v>
      </c>
      <c r="F345" s="36" t="s">
        <v>2211</v>
      </c>
      <c r="G345" t="str">
        <f>INDEX('Allocator Summary'!$B$8:$B$28,MATCH($F345,'Allocator Summary'!$A$8:$A$28))</f>
        <v>Mains</v>
      </c>
      <c r="H345" s="64">
        <f>INDEX('Allocator Summary'!C$8:C$28,MATCH($F345,'Allocator Summary'!$A$8:$A$28))*$E345</f>
        <v>0</v>
      </c>
      <c r="I345" s="64">
        <f>INDEX('Allocator Summary'!D$8:D$28,MATCH($F345,'Allocator Summary'!$A$8:$A$28))*$E345</f>
        <v>0</v>
      </c>
      <c r="J345" s="64">
        <f>INDEX('Allocator Summary'!E$8:E$28,MATCH($F345,'Allocator Summary'!$A$8:$A$28))*$E345</f>
        <v>0</v>
      </c>
      <c r="K345" s="64">
        <f>INDEX('Allocator Summary'!F$8:F$28,MATCH($F345,'Allocator Summary'!$A$8:$A$28))*$E345</f>
        <v>70123.59262793677</v>
      </c>
      <c r="L345" s="64">
        <f>INDEX('Allocator Summary'!G$8:G$28,MATCH($F345,'Allocator Summary'!$A$8:$A$28))*$E345</f>
        <v>212993.40737206323</v>
      </c>
      <c r="M345" s="64">
        <f>INDEX('Allocator Summary'!H$8:H$28,MATCH($F345,'Allocator Summary'!$A$8:$A$28))*$E345</f>
        <v>0</v>
      </c>
      <c r="N345" s="64">
        <f>INDEX('Allocator Summary'!I$8:I$28,MATCH($F345,'Allocator Summary'!$A$8:$A$28))*$E345</f>
        <v>0</v>
      </c>
      <c r="O345" s="64">
        <f>INDEX('Allocator Summary'!J$8:J$26,MATCH($F345,'Allocator Summary'!$A$8:$A$28))*$E345</f>
        <v>0</v>
      </c>
      <c r="P345" s="64">
        <f>INDEX('Allocator Summary'!K$8:K$26,MATCH($F345,'Allocator Summary'!$A$8:$A$28))*$E345</f>
        <v>0</v>
      </c>
      <c r="Q345" s="64">
        <f>INDEX('Allocator Summary'!L$8:L$28,MATCH($F345,'Allocator Summary'!$A$8:$A$28))*$E345</f>
        <v>0</v>
      </c>
      <c r="R345" s="64">
        <f t="shared" si="134"/>
        <v>283117</v>
      </c>
      <c r="S345" s="64">
        <f t="shared" si="135"/>
        <v>0</v>
      </c>
    </row>
    <row r="346" spans="1:19" x14ac:dyDescent="0.25">
      <c r="A346" s="88"/>
      <c r="B346" s="89"/>
      <c r="C346" s="2" t="s">
        <v>8025</v>
      </c>
      <c r="E346" s="306">
        <f>+'COSS Step 1'!F38</f>
        <v>2969355</v>
      </c>
      <c r="F346" s="36" t="s">
        <v>7020</v>
      </c>
      <c r="G346" t="str">
        <f>INDEX('Allocator Summary'!$B$8:$B$28,MATCH($F346,'Allocator Summary'!$A$8:$A$28))</f>
        <v>Distribution</v>
      </c>
      <c r="H346" s="64">
        <f>INDEX('Allocator Summary'!C$8:C$28,MATCH($F346,'Allocator Summary'!$A$8:$A$28))*$E346</f>
        <v>0</v>
      </c>
      <c r="I346" s="64">
        <f>INDEX('Allocator Summary'!D$8:D$28,MATCH($F346,'Allocator Summary'!$A$8:$A$28))*$E346</f>
        <v>0</v>
      </c>
      <c r="J346" s="64">
        <f>INDEX('Allocator Summary'!E$8:E$28,MATCH($F346,'Allocator Summary'!$A$8:$A$28))*$E346</f>
        <v>0</v>
      </c>
      <c r="K346" s="64">
        <f>INDEX('Allocator Summary'!F$8:F$28,MATCH($F346,'Allocator Summary'!$A$8:$A$28))*$E346</f>
        <v>0</v>
      </c>
      <c r="L346" s="64">
        <f>INDEX('Allocator Summary'!G$8:G$28,MATCH($F346,'Allocator Summary'!$A$8:$A$28))*$E346</f>
        <v>2969355</v>
      </c>
      <c r="M346" s="64">
        <f>INDEX('Allocator Summary'!H$8:H$28,MATCH($F346,'Allocator Summary'!$A$8:$A$28))*$E346</f>
        <v>0</v>
      </c>
      <c r="N346" s="64">
        <f>INDEX('Allocator Summary'!I$8:I$28,MATCH($F346,'Allocator Summary'!$A$8:$A$28))*$E346</f>
        <v>0</v>
      </c>
      <c r="O346" s="64">
        <f>INDEX('Allocator Summary'!J$8:J$26,MATCH($F346,'Allocator Summary'!$A$8:$A$28))*$E346</f>
        <v>0</v>
      </c>
      <c r="P346" s="64">
        <f>INDEX('Allocator Summary'!K$8:K$26,MATCH($F346,'Allocator Summary'!$A$8:$A$28))*$E346</f>
        <v>0</v>
      </c>
      <c r="Q346" s="64">
        <f>INDEX('Allocator Summary'!L$8:L$28,MATCH($F346,'Allocator Summary'!$A$8:$A$28))*$E346</f>
        <v>0</v>
      </c>
      <c r="R346" s="64">
        <f t="shared" si="134"/>
        <v>2969355</v>
      </c>
      <c r="S346" s="64">
        <f t="shared" si="135"/>
        <v>0</v>
      </c>
    </row>
    <row r="347" spans="1:19" x14ac:dyDescent="0.25">
      <c r="A347" s="88"/>
      <c r="B347" s="89"/>
      <c r="C347" s="2" t="s">
        <v>8027</v>
      </c>
      <c r="E347" s="306">
        <f>+'COSS Step 1'!F39</f>
        <v>67192963</v>
      </c>
      <c r="F347" s="36" t="s">
        <v>7020</v>
      </c>
      <c r="G347" t="str">
        <f>INDEX('Allocator Summary'!$B$8:$B$28,MATCH($F347,'Allocator Summary'!$A$8:$A$28))</f>
        <v>Distribution</v>
      </c>
      <c r="H347" s="64">
        <f>INDEX('Allocator Summary'!C$8:C$28,MATCH($F347,'Allocator Summary'!$A$8:$A$28))*$E347</f>
        <v>0</v>
      </c>
      <c r="I347" s="64">
        <f>INDEX('Allocator Summary'!D$8:D$28,MATCH($F347,'Allocator Summary'!$A$8:$A$28))*$E347</f>
        <v>0</v>
      </c>
      <c r="J347" s="64">
        <f>INDEX('Allocator Summary'!E$8:E$28,MATCH($F347,'Allocator Summary'!$A$8:$A$28))*$E347</f>
        <v>0</v>
      </c>
      <c r="K347" s="64">
        <f>INDEX('Allocator Summary'!F$8:F$28,MATCH($F347,'Allocator Summary'!$A$8:$A$28))*$E347</f>
        <v>0</v>
      </c>
      <c r="L347" s="64">
        <f>INDEX('Allocator Summary'!G$8:G$28,MATCH($F347,'Allocator Summary'!$A$8:$A$28))*$E347</f>
        <v>67192963</v>
      </c>
      <c r="M347" s="64">
        <f>INDEX('Allocator Summary'!H$8:H$28,MATCH($F347,'Allocator Summary'!$A$8:$A$28))*$E347</f>
        <v>0</v>
      </c>
      <c r="N347" s="64">
        <f>INDEX('Allocator Summary'!I$8:I$28,MATCH($F347,'Allocator Summary'!$A$8:$A$28))*$E347</f>
        <v>0</v>
      </c>
      <c r="O347" s="64">
        <f>INDEX('Allocator Summary'!J$8:J$26,MATCH($F347,'Allocator Summary'!$A$8:$A$28))*$E347</f>
        <v>0</v>
      </c>
      <c r="P347" s="64">
        <f>INDEX('Allocator Summary'!K$8:K$26,MATCH($F347,'Allocator Summary'!$A$8:$A$28))*$E347</f>
        <v>0</v>
      </c>
      <c r="Q347" s="64">
        <f>INDEX('Allocator Summary'!L$8:L$28,MATCH($F347,'Allocator Summary'!$A$8:$A$28))*$E347</f>
        <v>0</v>
      </c>
      <c r="R347" s="64">
        <f t="shared" si="134"/>
        <v>67192963</v>
      </c>
      <c r="S347" s="64">
        <f t="shared" si="135"/>
        <v>0</v>
      </c>
    </row>
    <row r="348" spans="1:19" x14ac:dyDescent="0.25">
      <c r="A348" s="88"/>
      <c r="B348" s="89"/>
      <c r="C348" s="2" t="s">
        <v>8029</v>
      </c>
      <c r="E348" s="306">
        <f>+'COSS Step 1'!F40</f>
        <v>38678455.5</v>
      </c>
      <c r="F348" s="36" t="s">
        <v>2210</v>
      </c>
      <c r="G348" t="str">
        <f>INDEX('Allocator Summary'!$B$8:$B$28,MATCH($F348,'Allocator Summary'!$A$8:$A$28))</f>
        <v>Transmission</v>
      </c>
      <c r="H348" s="64">
        <f>INDEX('Allocator Summary'!C$8:C$28,MATCH($F348,'Allocator Summary'!$A$8:$A$28))*$E348</f>
        <v>0</v>
      </c>
      <c r="I348" s="64">
        <f>INDEX('Allocator Summary'!D$8:D$28,MATCH($F348,'Allocator Summary'!$A$8:$A$28))*$E348</f>
        <v>0</v>
      </c>
      <c r="J348" s="64">
        <f>INDEX('Allocator Summary'!E$8:E$28,MATCH($F348,'Allocator Summary'!$A$8:$A$28))*$E348</f>
        <v>0</v>
      </c>
      <c r="K348" s="64">
        <f>INDEX('Allocator Summary'!F$8:F$28,MATCH($F348,'Allocator Summary'!$A$8:$A$28))*$E348</f>
        <v>38678455.5</v>
      </c>
      <c r="L348" s="64">
        <f>INDEX('Allocator Summary'!G$8:G$28,MATCH($F348,'Allocator Summary'!$A$8:$A$28))*$E348</f>
        <v>0</v>
      </c>
      <c r="M348" s="64">
        <f>INDEX('Allocator Summary'!H$8:H$28,MATCH($F348,'Allocator Summary'!$A$8:$A$28))*$E348</f>
        <v>0</v>
      </c>
      <c r="N348" s="64">
        <f>INDEX('Allocator Summary'!I$8:I$28,MATCH($F348,'Allocator Summary'!$A$8:$A$28))*$E348</f>
        <v>0</v>
      </c>
      <c r="O348" s="64">
        <f>INDEX('Allocator Summary'!J$8:J$26,MATCH($F348,'Allocator Summary'!$A$8:$A$28))*$E348</f>
        <v>0</v>
      </c>
      <c r="P348" s="64">
        <f>INDEX('Allocator Summary'!K$8:K$26,MATCH($F348,'Allocator Summary'!$A$8:$A$28))*$E348</f>
        <v>0</v>
      </c>
      <c r="Q348" s="64">
        <f>INDEX('Allocator Summary'!L$8:L$28,MATCH($F348,'Allocator Summary'!$A$8:$A$28))*$E348</f>
        <v>0</v>
      </c>
      <c r="R348" s="64">
        <f t="shared" si="134"/>
        <v>38678455.5</v>
      </c>
      <c r="S348" s="64">
        <f t="shared" si="135"/>
        <v>0</v>
      </c>
    </row>
    <row r="349" spans="1:19" x14ac:dyDescent="0.25">
      <c r="A349" s="88"/>
      <c r="B349" s="89"/>
      <c r="C349" s="2" t="s">
        <v>8031</v>
      </c>
      <c r="E349" s="306">
        <f>+'COSS Step 1'!F41</f>
        <v>701766</v>
      </c>
      <c r="F349" s="36" t="s">
        <v>2210</v>
      </c>
      <c r="G349" t="str">
        <f>INDEX('Allocator Summary'!$B$8:$B$28,MATCH($F349,'Allocator Summary'!$A$8:$A$28))</f>
        <v>Transmission</v>
      </c>
      <c r="H349" s="64">
        <f>INDEX('Allocator Summary'!C$8:C$28,MATCH($F349,'Allocator Summary'!$A$8:$A$28))*$E349</f>
        <v>0</v>
      </c>
      <c r="I349" s="64">
        <f>INDEX('Allocator Summary'!D$8:D$28,MATCH($F349,'Allocator Summary'!$A$8:$A$28))*$E349</f>
        <v>0</v>
      </c>
      <c r="J349" s="64">
        <f>INDEX('Allocator Summary'!E$8:E$28,MATCH($F349,'Allocator Summary'!$A$8:$A$28))*$E349</f>
        <v>0</v>
      </c>
      <c r="K349" s="64">
        <f>INDEX('Allocator Summary'!F$8:F$28,MATCH($F349,'Allocator Summary'!$A$8:$A$28))*$E349</f>
        <v>701766</v>
      </c>
      <c r="L349" s="64">
        <f>INDEX('Allocator Summary'!G$8:G$28,MATCH($F349,'Allocator Summary'!$A$8:$A$28))*$E349</f>
        <v>0</v>
      </c>
      <c r="M349" s="64">
        <f>INDEX('Allocator Summary'!H$8:H$28,MATCH($F349,'Allocator Summary'!$A$8:$A$28))*$E349</f>
        <v>0</v>
      </c>
      <c r="N349" s="64">
        <f>INDEX('Allocator Summary'!I$8:I$28,MATCH($F349,'Allocator Summary'!$A$8:$A$28))*$E349</f>
        <v>0</v>
      </c>
      <c r="O349" s="64">
        <f>INDEX('Allocator Summary'!J$8:J$26,MATCH($F349,'Allocator Summary'!$A$8:$A$28))*$E349</f>
        <v>0</v>
      </c>
      <c r="P349" s="64">
        <f>INDEX('Allocator Summary'!K$8:K$26,MATCH($F349,'Allocator Summary'!$A$8:$A$28))*$E349</f>
        <v>0</v>
      </c>
      <c r="Q349" s="64">
        <f>INDEX('Allocator Summary'!L$8:L$28,MATCH($F349,'Allocator Summary'!$A$8:$A$28))*$E349</f>
        <v>0</v>
      </c>
      <c r="R349" s="64">
        <f t="shared" si="134"/>
        <v>701766</v>
      </c>
      <c r="S349" s="64">
        <f t="shared" si="135"/>
        <v>0</v>
      </c>
    </row>
    <row r="350" spans="1:19" x14ac:dyDescent="0.25">
      <c r="A350" s="88"/>
      <c r="B350" s="89"/>
      <c r="C350" s="2" t="s">
        <v>8047</v>
      </c>
      <c r="E350" s="306">
        <f>+'COSS Step 1'!F42</f>
        <v>247887</v>
      </c>
      <c r="F350" s="36" t="s">
        <v>2211</v>
      </c>
      <c r="G350" t="str">
        <f>INDEX('Allocator Summary'!$B$8:$B$28,MATCH($F350,'Allocator Summary'!$A$8:$A$28))</f>
        <v>Mains</v>
      </c>
      <c r="H350" s="64">
        <f>INDEX('Allocator Summary'!C$8:C$28,MATCH($F350,'Allocator Summary'!$A$8:$A$28))*$E350</f>
        <v>0</v>
      </c>
      <c r="I350" s="64">
        <f>INDEX('Allocator Summary'!D$8:D$28,MATCH($F350,'Allocator Summary'!$A$8:$A$28))*$E350</f>
        <v>0</v>
      </c>
      <c r="J350" s="64">
        <f>INDEX('Allocator Summary'!E$8:E$28,MATCH($F350,'Allocator Summary'!$A$8:$A$28))*$E350</f>
        <v>0</v>
      </c>
      <c r="K350" s="64">
        <f>INDEX('Allocator Summary'!F$8:F$28,MATCH($F350,'Allocator Summary'!$A$8:$A$28))*$E350</f>
        <v>61397.680131399247</v>
      </c>
      <c r="L350" s="64">
        <f>INDEX('Allocator Summary'!G$8:G$28,MATCH($F350,'Allocator Summary'!$A$8:$A$28))*$E350</f>
        <v>186489.31986860075</v>
      </c>
      <c r="M350" s="64">
        <f>INDEX('Allocator Summary'!H$8:H$28,MATCH($F350,'Allocator Summary'!$A$8:$A$28))*$E350</f>
        <v>0</v>
      </c>
      <c r="N350" s="64">
        <f>INDEX('Allocator Summary'!I$8:I$28,MATCH($F350,'Allocator Summary'!$A$8:$A$28))*$E350</f>
        <v>0</v>
      </c>
      <c r="O350" s="64">
        <f>INDEX('Allocator Summary'!J$8:J$26,MATCH($F350,'Allocator Summary'!$A$8:$A$28))*$E350</f>
        <v>0</v>
      </c>
      <c r="P350" s="64">
        <f>INDEX('Allocator Summary'!K$8:K$26,MATCH($F350,'Allocator Summary'!$A$8:$A$28))*$E350</f>
        <v>0</v>
      </c>
      <c r="Q350" s="64">
        <f>INDEX('Allocator Summary'!L$8:L$28,MATCH($F350,'Allocator Summary'!$A$8:$A$28))*$E350</f>
        <v>0</v>
      </c>
      <c r="R350" s="64">
        <f t="shared" si="134"/>
        <v>247887</v>
      </c>
      <c r="S350" s="64">
        <f t="shared" si="135"/>
        <v>0</v>
      </c>
    </row>
    <row r="351" spans="1:19" x14ac:dyDescent="0.25">
      <c r="A351" s="54"/>
      <c r="B351" s="92"/>
      <c r="C351" s="54"/>
      <c r="E351" s="326"/>
    </row>
    <row r="352" spans="1:19" x14ac:dyDescent="0.25">
      <c r="A352" s="54"/>
      <c r="B352" s="91" t="s">
        <v>6959</v>
      </c>
      <c r="C352" s="54"/>
      <c r="E352" s="326"/>
    </row>
    <row r="353" spans="1:19" x14ac:dyDescent="0.25">
      <c r="A353" s="88"/>
      <c r="B353" s="89"/>
      <c r="C353" s="2" t="s">
        <v>8017</v>
      </c>
      <c r="E353" s="306">
        <f>+'COSS Step 1'!F45</f>
        <v>4065048.5</v>
      </c>
      <c r="F353" s="36" t="s">
        <v>7008</v>
      </c>
      <c r="G353" t="str">
        <f>INDEX('Allocator Summary'!$B$8:$B$28,MATCH($F353,'Allocator Summary'!$A$8:$A$28))</f>
        <v>Storage</v>
      </c>
      <c r="H353" s="64">
        <f>INDEX('Allocator Summary'!C$8:C$28,MATCH($F353,'Allocator Summary'!$A$8:$A$28))*$E353</f>
        <v>0</v>
      </c>
      <c r="I353" s="64">
        <f>INDEX('Allocator Summary'!D$8:D$28,MATCH($F353,'Allocator Summary'!$A$8:$A$28))*$E353</f>
        <v>0</v>
      </c>
      <c r="J353" s="64">
        <f>INDEX('Allocator Summary'!E$8:E$28,MATCH($F353,'Allocator Summary'!$A$8:$A$28))*$E353</f>
        <v>0</v>
      </c>
      <c r="K353" s="64">
        <f>INDEX('Allocator Summary'!F$8:F$28,MATCH($F353,'Allocator Summary'!$A$8:$A$28))*$E353</f>
        <v>0</v>
      </c>
      <c r="L353" s="64">
        <f>INDEX('Allocator Summary'!G$8:G$28,MATCH($F353,'Allocator Summary'!$A$8:$A$28))*$E353</f>
        <v>0</v>
      </c>
      <c r="M353" s="64">
        <f>INDEX('Allocator Summary'!H$8:H$28,MATCH($F353,'Allocator Summary'!$A$8:$A$28))*$E353</f>
        <v>4065048.5</v>
      </c>
      <c r="N353" s="64">
        <f>INDEX('Allocator Summary'!I$8:I$28,MATCH($F353,'Allocator Summary'!$A$8:$A$28))*$E353</f>
        <v>0</v>
      </c>
      <c r="O353" s="64">
        <f>INDEX('Allocator Summary'!J$8:J$26,MATCH($F353,'Allocator Summary'!$A$8:$A$28))*$E353</f>
        <v>0</v>
      </c>
      <c r="P353" s="64">
        <f>INDEX('Allocator Summary'!K$8:K$26,MATCH($F353,'Allocator Summary'!$A$8:$A$28))*$E353</f>
        <v>0</v>
      </c>
      <c r="Q353" s="64">
        <f>INDEX('Allocator Summary'!L$8:L$28,MATCH($F353,'Allocator Summary'!$A$8:$A$28))*$E353</f>
        <v>0</v>
      </c>
      <c r="R353" s="64">
        <f t="shared" ref="R353:R356" si="136">SUM(H353:Q353)</f>
        <v>4065048.5</v>
      </c>
      <c r="S353" s="64">
        <f>R353-E353</f>
        <v>0</v>
      </c>
    </row>
    <row r="354" spans="1:19" x14ac:dyDescent="0.25">
      <c r="A354" s="88"/>
      <c r="B354" s="89"/>
      <c r="C354" s="2" t="s">
        <v>8019</v>
      </c>
      <c r="E354" s="306">
        <f>+'COSS Step 1'!F46</f>
        <v>2231331.5</v>
      </c>
      <c r="F354" s="36" t="s">
        <v>7008</v>
      </c>
      <c r="G354" t="str">
        <f>INDEX('Allocator Summary'!$B$8:$B$28,MATCH($F354,'Allocator Summary'!$A$8:$A$28))</f>
        <v>Storage</v>
      </c>
      <c r="H354" s="64">
        <f>INDEX('Allocator Summary'!C$8:C$28,MATCH($F354,'Allocator Summary'!$A$8:$A$28))*$E354</f>
        <v>0</v>
      </c>
      <c r="I354" s="64">
        <f>INDEX('Allocator Summary'!D$8:D$28,MATCH($F354,'Allocator Summary'!$A$8:$A$28))*$E354</f>
        <v>0</v>
      </c>
      <c r="J354" s="64">
        <f>INDEX('Allocator Summary'!E$8:E$28,MATCH($F354,'Allocator Summary'!$A$8:$A$28))*$E354</f>
        <v>0</v>
      </c>
      <c r="K354" s="64">
        <f>INDEX('Allocator Summary'!F$8:F$28,MATCH($F354,'Allocator Summary'!$A$8:$A$28))*$E354</f>
        <v>0</v>
      </c>
      <c r="L354" s="64">
        <f>INDEX('Allocator Summary'!G$8:G$28,MATCH($F354,'Allocator Summary'!$A$8:$A$28))*$E354</f>
        <v>0</v>
      </c>
      <c r="M354" s="64">
        <f>INDEX('Allocator Summary'!H$8:H$28,MATCH($F354,'Allocator Summary'!$A$8:$A$28))*$E354</f>
        <v>2231331.5</v>
      </c>
      <c r="N354" s="64">
        <f>INDEX('Allocator Summary'!I$8:I$28,MATCH($F354,'Allocator Summary'!$A$8:$A$28))*$E354</f>
        <v>0</v>
      </c>
      <c r="O354" s="64">
        <f>INDEX('Allocator Summary'!J$8:J$26,MATCH($F354,'Allocator Summary'!$A$8:$A$28))*$E354</f>
        <v>0</v>
      </c>
      <c r="P354" s="64">
        <f>INDEX('Allocator Summary'!K$8:K$26,MATCH($F354,'Allocator Summary'!$A$8:$A$28))*$E354</f>
        <v>0</v>
      </c>
      <c r="Q354" s="64">
        <f>INDEX('Allocator Summary'!L$8:L$28,MATCH($F354,'Allocator Summary'!$A$8:$A$28))*$E354</f>
        <v>0</v>
      </c>
      <c r="R354" s="64">
        <f t="shared" si="136"/>
        <v>2231331.5</v>
      </c>
      <c r="S354" s="64">
        <f>R354-E354</f>
        <v>0</v>
      </c>
    </row>
    <row r="355" spans="1:19" x14ac:dyDescent="0.25">
      <c r="A355" s="88"/>
      <c r="B355" s="89"/>
      <c r="C355" s="2" t="s">
        <v>8021</v>
      </c>
      <c r="E355" s="306">
        <f>+'COSS Step 1'!F47</f>
        <v>0</v>
      </c>
      <c r="F355" s="36" t="s">
        <v>7008</v>
      </c>
      <c r="G355" t="str">
        <f>INDEX('Allocator Summary'!$B$8:$B$28,MATCH($F355,'Allocator Summary'!$A$8:$A$28))</f>
        <v>Storage</v>
      </c>
      <c r="H355" s="64">
        <f>INDEX('Allocator Summary'!C$8:C$28,MATCH($F355,'Allocator Summary'!$A$8:$A$28))*$E355</f>
        <v>0</v>
      </c>
      <c r="I355" s="64">
        <f>INDEX('Allocator Summary'!D$8:D$28,MATCH($F355,'Allocator Summary'!$A$8:$A$28))*$E355</f>
        <v>0</v>
      </c>
      <c r="J355" s="64">
        <f>INDEX('Allocator Summary'!E$8:E$28,MATCH($F355,'Allocator Summary'!$A$8:$A$28))*$E355</f>
        <v>0</v>
      </c>
      <c r="K355" s="64">
        <f>INDEX('Allocator Summary'!F$8:F$28,MATCH($F355,'Allocator Summary'!$A$8:$A$28))*$E355</f>
        <v>0</v>
      </c>
      <c r="L355" s="64">
        <f>INDEX('Allocator Summary'!G$8:G$28,MATCH($F355,'Allocator Summary'!$A$8:$A$28))*$E355</f>
        <v>0</v>
      </c>
      <c r="M355" s="64">
        <f>INDEX('Allocator Summary'!H$8:H$28,MATCH($F355,'Allocator Summary'!$A$8:$A$28))*$E355</f>
        <v>0</v>
      </c>
      <c r="N355" s="64">
        <f>INDEX('Allocator Summary'!I$8:I$28,MATCH($F355,'Allocator Summary'!$A$8:$A$28))*$E355</f>
        <v>0</v>
      </c>
      <c r="O355" s="64">
        <f>INDEX('Allocator Summary'!J$8:J$26,MATCH($F355,'Allocator Summary'!$A$8:$A$28))*$E355</f>
        <v>0</v>
      </c>
      <c r="P355" s="64">
        <f>INDEX('Allocator Summary'!K$8:K$26,MATCH($F355,'Allocator Summary'!$A$8:$A$28))*$E355</f>
        <v>0</v>
      </c>
      <c r="Q355" s="64">
        <f>INDEX('Allocator Summary'!L$8:L$28,MATCH($F355,'Allocator Summary'!$A$8:$A$28))*$E355</f>
        <v>0</v>
      </c>
      <c r="R355" s="64">
        <f t="shared" si="136"/>
        <v>0</v>
      </c>
      <c r="S355" s="64">
        <f>R355-E355</f>
        <v>0</v>
      </c>
    </row>
    <row r="356" spans="1:19" x14ac:dyDescent="0.25">
      <c r="A356" s="88"/>
      <c r="B356" s="89"/>
      <c r="C356" s="2" t="s">
        <v>8023</v>
      </c>
      <c r="E356" s="306">
        <f>+'COSS Step 1'!F48</f>
        <v>429551</v>
      </c>
      <c r="F356" s="36" t="s">
        <v>7008</v>
      </c>
      <c r="G356" t="str">
        <f>INDEX('Allocator Summary'!$B$8:$B$28,MATCH($F356,'Allocator Summary'!$A$8:$A$28))</f>
        <v>Storage</v>
      </c>
      <c r="H356" s="64">
        <f>INDEX('Allocator Summary'!C$8:C$28,MATCH($F356,'Allocator Summary'!$A$8:$A$28))*$E356</f>
        <v>0</v>
      </c>
      <c r="I356" s="64">
        <f>INDEX('Allocator Summary'!D$8:D$28,MATCH($F356,'Allocator Summary'!$A$8:$A$28))*$E356</f>
        <v>0</v>
      </c>
      <c r="J356" s="64">
        <f>INDEX('Allocator Summary'!E$8:E$28,MATCH($F356,'Allocator Summary'!$A$8:$A$28))*$E356</f>
        <v>0</v>
      </c>
      <c r="K356" s="64">
        <f>INDEX('Allocator Summary'!F$8:F$28,MATCH($F356,'Allocator Summary'!$A$8:$A$28))*$E356</f>
        <v>0</v>
      </c>
      <c r="L356" s="64">
        <f>INDEX('Allocator Summary'!G$8:G$28,MATCH($F356,'Allocator Summary'!$A$8:$A$28))*$E356</f>
        <v>0</v>
      </c>
      <c r="M356" s="64">
        <f>INDEX('Allocator Summary'!H$8:H$28,MATCH($F356,'Allocator Summary'!$A$8:$A$28))*$E356</f>
        <v>429551</v>
      </c>
      <c r="N356" s="64">
        <f>INDEX('Allocator Summary'!I$8:I$28,MATCH($F356,'Allocator Summary'!$A$8:$A$28))*$E356</f>
        <v>0</v>
      </c>
      <c r="O356" s="64">
        <f>INDEX('Allocator Summary'!J$8:J$26,MATCH($F356,'Allocator Summary'!$A$8:$A$28))*$E356</f>
        <v>0</v>
      </c>
      <c r="P356" s="64">
        <f>INDEX('Allocator Summary'!K$8:K$26,MATCH($F356,'Allocator Summary'!$A$8:$A$28))*$E356</f>
        <v>0</v>
      </c>
      <c r="Q356" s="64">
        <f>INDEX('Allocator Summary'!L$8:L$28,MATCH($F356,'Allocator Summary'!$A$8:$A$28))*$E356</f>
        <v>0</v>
      </c>
      <c r="R356" s="64">
        <f t="shared" si="136"/>
        <v>429551</v>
      </c>
      <c r="S356" s="64">
        <f>R356-E356</f>
        <v>0</v>
      </c>
    </row>
    <row r="357" spans="1:19" x14ac:dyDescent="0.25">
      <c r="A357" s="54"/>
      <c r="B357" s="92"/>
      <c r="C357" s="54"/>
      <c r="E357" s="326"/>
    </row>
    <row r="358" spans="1:19" x14ac:dyDescent="0.25">
      <c r="A358" s="54"/>
      <c r="B358" s="91" t="s">
        <v>28</v>
      </c>
      <c r="C358" s="54"/>
      <c r="E358" s="326"/>
    </row>
    <row r="359" spans="1:19" x14ac:dyDescent="0.25">
      <c r="A359" s="88"/>
      <c r="B359" s="89"/>
      <c r="C359" s="2" t="s">
        <v>8035</v>
      </c>
      <c r="E359" s="306">
        <f>+'COSS Step 1'!F51</f>
        <v>5548148.5</v>
      </c>
      <c r="F359" s="36" t="s">
        <v>7007</v>
      </c>
      <c r="G359" t="str">
        <f>INDEX('Allocator Summary'!$B$8:$B$28,MATCH($F359,'Allocator Summary'!$A$8:$A$28))</f>
        <v>Meters</v>
      </c>
      <c r="H359" s="64">
        <f>INDEX('Allocator Summary'!C$8:C$28,MATCH($F359,'Allocator Summary'!$A$8:$A$28))*$E359</f>
        <v>0</v>
      </c>
      <c r="I359" s="64">
        <f>INDEX('Allocator Summary'!D$8:D$28,MATCH($F359,'Allocator Summary'!$A$8:$A$28))*$E359</f>
        <v>0</v>
      </c>
      <c r="J359" s="64">
        <f>INDEX('Allocator Summary'!E$8:E$28,MATCH($F359,'Allocator Summary'!$A$8:$A$28))*$E359</f>
        <v>0</v>
      </c>
      <c r="K359" s="64">
        <f>INDEX('Allocator Summary'!F$8:F$28,MATCH($F359,'Allocator Summary'!$A$8:$A$28))*$E359</f>
        <v>0</v>
      </c>
      <c r="L359" s="64">
        <f>INDEX('Allocator Summary'!G$8:G$28,MATCH($F359,'Allocator Summary'!$A$8:$A$28))*$E359</f>
        <v>0</v>
      </c>
      <c r="M359" s="64">
        <f>INDEX('Allocator Summary'!H$8:H$28,MATCH($F359,'Allocator Summary'!$A$8:$A$28))*$E359</f>
        <v>0</v>
      </c>
      <c r="N359" s="64">
        <f>INDEX('Allocator Summary'!I$8:I$28,MATCH($F359,'Allocator Summary'!$A$8:$A$28))*$E359</f>
        <v>5548148.5</v>
      </c>
      <c r="O359" s="64">
        <f>INDEX('Allocator Summary'!J$8:J$26,MATCH($F359,'Allocator Summary'!$A$8:$A$28))*$E359</f>
        <v>0</v>
      </c>
      <c r="P359" s="64">
        <f>INDEX('Allocator Summary'!K$8:K$26,MATCH($F359,'Allocator Summary'!$A$8:$A$28))*$E359</f>
        <v>0</v>
      </c>
      <c r="Q359" s="64">
        <f>INDEX('Allocator Summary'!L$8:L$28,MATCH($F359,'Allocator Summary'!$A$8:$A$28))*$E359</f>
        <v>0</v>
      </c>
      <c r="R359" s="64">
        <f t="shared" ref="R359" si="137">SUM(H359:Q359)</f>
        <v>5548148.5</v>
      </c>
      <c r="S359" s="64">
        <f>R359-E359</f>
        <v>0</v>
      </c>
    </row>
    <row r="360" spans="1:19" x14ac:dyDescent="0.25">
      <c r="A360" s="88"/>
      <c r="B360" s="89"/>
      <c r="C360" s="2" t="s">
        <v>8037</v>
      </c>
      <c r="E360" s="306">
        <f>+'COSS Step 1'!F52</f>
        <v>167801</v>
      </c>
      <c r="F360" s="36" t="s">
        <v>7007</v>
      </c>
      <c r="G360" t="str">
        <f>INDEX('Allocator Summary'!$B$8:$B$28,MATCH($F360,'Allocator Summary'!$A$8:$A$28))</f>
        <v>Meters</v>
      </c>
      <c r="H360" s="64">
        <f>INDEX('Allocator Summary'!C$8:C$28,MATCH($F360,'Allocator Summary'!$A$8:$A$28))*$E360</f>
        <v>0</v>
      </c>
      <c r="I360" s="64">
        <f>INDEX('Allocator Summary'!D$8:D$28,MATCH($F360,'Allocator Summary'!$A$8:$A$28))*$E360</f>
        <v>0</v>
      </c>
      <c r="J360" s="64">
        <f>INDEX('Allocator Summary'!E$8:E$28,MATCH($F360,'Allocator Summary'!$A$8:$A$28))*$E360</f>
        <v>0</v>
      </c>
      <c r="K360" s="64">
        <f>INDEX('Allocator Summary'!F$8:F$28,MATCH($F360,'Allocator Summary'!$A$8:$A$28))*$E360</f>
        <v>0</v>
      </c>
      <c r="L360" s="64">
        <f>INDEX('Allocator Summary'!G$8:G$28,MATCH($F360,'Allocator Summary'!$A$8:$A$28))*$E360</f>
        <v>0</v>
      </c>
      <c r="M360" s="64">
        <f>INDEX('Allocator Summary'!H$8:H$28,MATCH($F360,'Allocator Summary'!$A$8:$A$28))*$E360</f>
        <v>0</v>
      </c>
      <c r="N360" s="64">
        <f>INDEX('Allocator Summary'!I$8:I$28,MATCH($F360,'Allocator Summary'!$A$8:$A$28))*$E360</f>
        <v>167801</v>
      </c>
      <c r="O360" s="64">
        <f>INDEX('Allocator Summary'!J$8:J$26,MATCH($F360,'Allocator Summary'!$A$8:$A$28))*$E360</f>
        <v>0</v>
      </c>
      <c r="P360" s="64">
        <f>INDEX('Allocator Summary'!K$8:K$26,MATCH($F360,'Allocator Summary'!$A$8:$A$28))*$E360</f>
        <v>0</v>
      </c>
      <c r="Q360" s="64">
        <f>INDEX('Allocator Summary'!L$8:L$28,MATCH($F360,'Allocator Summary'!$A$8:$A$28))*$E360</f>
        <v>0</v>
      </c>
      <c r="R360" s="64">
        <f t="shared" ref="R360:R363" si="138">SUM(H360:Q360)</f>
        <v>167801</v>
      </c>
      <c r="S360" s="64">
        <f>R360-E360</f>
        <v>0</v>
      </c>
    </row>
    <row r="361" spans="1:19" x14ac:dyDescent="0.25">
      <c r="A361" s="88"/>
      <c r="B361" s="89"/>
      <c r="C361" s="2" t="s">
        <v>8039</v>
      </c>
      <c r="E361" s="306">
        <f>+'COSS Step 1'!F53</f>
        <v>2848882</v>
      </c>
      <c r="F361" s="36" t="s">
        <v>7007</v>
      </c>
      <c r="G361" t="str">
        <f>INDEX('Allocator Summary'!$B$8:$B$28,MATCH($F361,'Allocator Summary'!$A$8:$A$28))</f>
        <v>Meters</v>
      </c>
      <c r="H361" s="64">
        <f>INDEX('Allocator Summary'!C$8:C$28,MATCH($F361,'Allocator Summary'!$A$8:$A$28))*$E361</f>
        <v>0</v>
      </c>
      <c r="I361" s="64">
        <f>INDEX('Allocator Summary'!D$8:D$28,MATCH($F361,'Allocator Summary'!$A$8:$A$28))*$E361</f>
        <v>0</v>
      </c>
      <c r="J361" s="64">
        <f>INDEX('Allocator Summary'!E$8:E$28,MATCH($F361,'Allocator Summary'!$A$8:$A$28))*$E361</f>
        <v>0</v>
      </c>
      <c r="K361" s="64">
        <f>INDEX('Allocator Summary'!F$8:F$28,MATCH($F361,'Allocator Summary'!$A$8:$A$28))*$E361</f>
        <v>0</v>
      </c>
      <c r="L361" s="64">
        <f>INDEX('Allocator Summary'!G$8:G$28,MATCH($F361,'Allocator Summary'!$A$8:$A$28))*$E361</f>
        <v>0</v>
      </c>
      <c r="M361" s="64">
        <f>INDEX('Allocator Summary'!H$8:H$28,MATCH($F361,'Allocator Summary'!$A$8:$A$28))*$E361</f>
        <v>0</v>
      </c>
      <c r="N361" s="64">
        <f>INDEX('Allocator Summary'!I$8:I$28,MATCH($F361,'Allocator Summary'!$A$8:$A$28))*$E361</f>
        <v>2848882</v>
      </c>
      <c r="O361" s="64">
        <f>INDEX('Allocator Summary'!J$8:J$26,MATCH($F361,'Allocator Summary'!$A$8:$A$28))*$E361</f>
        <v>0</v>
      </c>
      <c r="P361" s="64">
        <f>INDEX('Allocator Summary'!K$8:K$26,MATCH($F361,'Allocator Summary'!$A$8:$A$28))*$E361</f>
        <v>0</v>
      </c>
      <c r="Q361" s="64">
        <f>INDEX('Allocator Summary'!L$8:L$28,MATCH($F361,'Allocator Summary'!$A$8:$A$28))*$E361</f>
        <v>0</v>
      </c>
      <c r="R361" s="64">
        <f t="shared" si="138"/>
        <v>2848882</v>
      </c>
      <c r="S361" s="64">
        <f>R361-E361</f>
        <v>0</v>
      </c>
    </row>
    <row r="362" spans="1:19" x14ac:dyDescent="0.25">
      <c r="A362" s="88"/>
      <c r="B362" s="89"/>
      <c r="C362" s="2" t="s">
        <v>8041</v>
      </c>
      <c r="E362" s="306">
        <f>+'COSS Step 1'!F54</f>
        <v>-16720</v>
      </c>
      <c r="F362" s="36" t="s">
        <v>7007</v>
      </c>
      <c r="G362" t="str">
        <f>INDEX('Allocator Summary'!$B$8:$B$28,MATCH($F362,'Allocator Summary'!$A$8:$A$28))</f>
        <v>Meters</v>
      </c>
      <c r="H362" s="64">
        <f>INDEX('Allocator Summary'!C$8:C$28,MATCH($F362,'Allocator Summary'!$A$8:$A$28))*$E362</f>
        <v>0</v>
      </c>
      <c r="I362" s="64">
        <f>INDEX('Allocator Summary'!D$8:D$28,MATCH($F362,'Allocator Summary'!$A$8:$A$28))*$E362</f>
        <v>0</v>
      </c>
      <c r="J362" s="64">
        <f>INDEX('Allocator Summary'!E$8:E$28,MATCH($F362,'Allocator Summary'!$A$8:$A$28))*$E362</f>
        <v>0</v>
      </c>
      <c r="K362" s="64">
        <f>INDEX('Allocator Summary'!F$8:F$28,MATCH($F362,'Allocator Summary'!$A$8:$A$28))*$E362</f>
        <v>0</v>
      </c>
      <c r="L362" s="64">
        <f>INDEX('Allocator Summary'!G$8:G$28,MATCH($F362,'Allocator Summary'!$A$8:$A$28))*$E362</f>
        <v>0</v>
      </c>
      <c r="M362" s="64">
        <f>INDEX('Allocator Summary'!H$8:H$28,MATCH($F362,'Allocator Summary'!$A$8:$A$28))*$E362</f>
        <v>0</v>
      </c>
      <c r="N362" s="64">
        <f>INDEX('Allocator Summary'!I$8:I$28,MATCH($F362,'Allocator Summary'!$A$8:$A$28))*$E362</f>
        <v>-16720</v>
      </c>
      <c r="O362" s="64">
        <f>INDEX('Allocator Summary'!J$8:J$26,MATCH($F362,'Allocator Summary'!$A$8:$A$28))*$E362</f>
        <v>0</v>
      </c>
      <c r="P362" s="64">
        <f>INDEX('Allocator Summary'!K$8:K$26,MATCH($F362,'Allocator Summary'!$A$8:$A$28))*$E362</f>
        <v>0</v>
      </c>
      <c r="Q362" s="64">
        <f>INDEX('Allocator Summary'!L$8:L$28,MATCH($F362,'Allocator Summary'!$A$8:$A$28))*$E362</f>
        <v>0</v>
      </c>
      <c r="R362" s="64">
        <f t="shared" si="138"/>
        <v>-16720</v>
      </c>
      <c r="S362" s="64">
        <f>R362-E362</f>
        <v>0</v>
      </c>
    </row>
    <row r="363" spans="1:19" x14ac:dyDescent="0.25">
      <c r="A363" s="88"/>
      <c r="B363" s="89"/>
      <c r="C363" s="2" t="s">
        <v>8043</v>
      </c>
      <c r="E363" s="306">
        <f>+'COSS Step 1'!F55</f>
        <v>2100855</v>
      </c>
      <c r="F363" s="36" t="s">
        <v>7007</v>
      </c>
      <c r="G363" t="str">
        <f>INDEX('Allocator Summary'!$B$8:$B$28,MATCH($F363,'Allocator Summary'!$A$8:$A$28))</f>
        <v>Meters</v>
      </c>
      <c r="H363" s="64">
        <f>INDEX('Allocator Summary'!C$8:C$28,MATCH($F363,'Allocator Summary'!$A$8:$A$28))*$E363</f>
        <v>0</v>
      </c>
      <c r="I363" s="64">
        <f>INDEX('Allocator Summary'!D$8:D$28,MATCH($F363,'Allocator Summary'!$A$8:$A$28))*$E363</f>
        <v>0</v>
      </c>
      <c r="J363" s="64">
        <f>INDEX('Allocator Summary'!E$8:E$28,MATCH($F363,'Allocator Summary'!$A$8:$A$28))*$E363</f>
        <v>0</v>
      </c>
      <c r="K363" s="64">
        <f>INDEX('Allocator Summary'!F$8:F$28,MATCH($F363,'Allocator Summary'!$A$8:$A$28))*$E363</f>
        <v>0</v>
      </c>
      <c r="L363" s="64">
        <f>INDEX('Allocator Summary'!G$8:G$28,MATCH($F363,'Allocator Summary'!$A$8:$A$28))*$E363</f>
        <v>0</v>
      </c>
      <c r="M363" s="64">
        <f>INDEX('Allocator Summary'!H$8:H$28,MATCH($F363,'Allocator Summary'!$A$8:$A$28))*$E363</f>
        <v>0</v>
      </c>
      <c r="N363" s="64">
        <f>INDEX('Allocator Summary'!I$8:I$28,MATCH($F363,'Allocator Summary'!$A$8:$A$28))*$E363</f>
        <v>2100855</v>
      </c>
      <c r="O363" s="64">
        <f>INDEX('Allocator Summary'!J$8:J$26,MATCH($F363,'Allocator Summary'!$A$8:$A$28))*$E363</f>
        <v>0</v>
      </c>
      <c r="P363" s="64">
        <f>INDEX('Allocator Summary'!K$8:K$26,MATCH($F363,'Allocator Summary'!$A$8:$A$28))*$E363</f>
        <v>0</v>
      </c>
      <c r="Q363" s="64">
        <f>INDEX('Allocator Summary'!L$8:L$28,MATCH($F363,'Allocator Summary'!$A$8:$A$28))*$E363</f>
        <v>0</v>
      </c>
      <c r="R363" s="64">
        <f t="shared" si="138"/>
        <v>2100855</v>
      </c>
      <c r="S363" s="64">
        <f>R363-E363</f>
        <v>0</v>
      </c>
    </row>
    <row r="364" spans="1:19" x14ac:dyDescent="0.25">
      <c r="A364" s="88"/>
      <c r="B364" s="89"/>
      <c r="C364" s="2"/>
      <c r="E364" s="187"/>
      <c r="F364" s="36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</row>
    <row r="365" spans="1:19" x14ac:dyDescent="0.25">
      <c r="A365" s="54"/>
      <c r="B365" s="91" t="s">
        <v>27</v>
      </c>
      <c r="C365" s="54"/>
      <c r="E365" s="326"/>
    </row>
    <row r="366" spans="1:19" x14ac:dyDescent="0.25">
      <c r="A366" s="88"/>
      <c r="B366" s="89"/>
      <c r="C366" s="2" t="s">
        <v>8033</v>
      </c>
      <c r="E366" s="306">
        <f>+'COSS Step 1'!F58</f>
        <v>4202409</v>
      </c>
      <c r="F366" s="36" t="s">
        <v>7010</v>
      </c>
      <c r="G366" t="str">
        <f>INDEX('Allocator Summary'!$B$8:$B$28,MATCH($F366,'Allocator Summary'!$A$8:$A$28))</f>
        <v>Services</v>
      </c>
      <c r="H366" s="64">
        <f>INDEX('Allocator Summary'!C$8:C$28,MATCH($F366,'Allocator Summary'!$A$8:$A$28))*$E366</f>
        <v>0</v>
      </c>
      <c r="I366" s="64">
        <f>INDEX('Allocator Summary'!D$8:D$28,MATCH($F366,'Allocator Summary'!$A$8:$A$28))*$E366</f>
        <v>0</v>
      </c>
      <c r="J366" s="64">
        <f>INDEX('Allocator Summary'!E$8:E$28,MATCH($F366,'Allocator Summary'!$A$8:$A$28))*$E366</f>
        <v>0</v>
      </c>
      <c r="K366" s="64">
        <f>INDEX('Allocator Summary'!F$8:F$28,MATCH($F366,'Allocator Summary'!$A$8:$A$28))*$E366</f>
        <v>0</v>
      </c>
      <c r="L366" s="64">
        <f>INDEX('Allocator Summary'!G$8:G$28,MATCH($F366,'Allocator Summary'!$A$8:$A$28))*$E366</f>
        <v>0</v>
      </c>
      <c r="M366" s="64">
        <f>INDEX('Allocator Summary'!H$8:H$28,MATCH($F366,'Allocator Summary'!$A$8:$A$28))*$E366</f>
        <v>0</v>
      </c>
      <c r="N366" s="64">
        <f>INDEX('Allocator Summary'!I$8:I$28,MATCH($F366,'Allocator Summary'!$A$8:$A$28))*$E366</f>
        <v>0</v>
      </c>
      <c r="O366" s="64">
        <f>INDEX('Allocator Summary'!J$8:J$26,MATCH($F366,'Allocator Summary'!$A$8:$A$28))*$E366</f>
        <v>4202409</v>
      </c>
      <c r="P366" s="64">
        <f>INDEX('Allocator Summary'!K$8:K$26,MATCH($F366,'Allocator Summary'!$A$8:$A$28))*$E366</f>
        <v>0</v>
      </c>
      <c r="Q366" s="64">
        <f>INDEX('Allocator Summary'!L$8:L$28,MATCH($F366,'Allocator Summary'!$A$8:$A$28))*$E366</f>
        <v>0</v>
      </c>
      <c r="R366" s="64">
        <f t="shared" ref="R366" si="139">SUM(H366:Q366)</f>
        <v>4202409</v>
      </c>
      <c r="S366" s="64">
        <f>R366-E366</f>
        <v>0</v>
      </c>
    </row>
    <row r="367" spans="1:19" x14ac:dyDescent="0.25">
      <c r="A367" s="88"/>
      <c r="B367" s="89"/>
      <c r="C367" s="2"/>
      <c r="E367" s="187"/>
      <c r="F367" s="36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</row>
    <row r="368" spans="1:19" x14ac:dyDescent="0.25">
      <c r="A368" s="54"/>
      <c r="B368" s="91" t="s">
        <v>30</v>
      </c>
      <c r="C368" s="54"/>
      <c r="E368" s="326"/>
    </row>
    <row r="369" spans="1:19" x14ac:dyDescent="0.25">
      <c r="A369" s="88"/>
      <c r="B369" s="89"/>
      <c r="C369" s="2" t="s">
        <v>8045</v>
      </c>
      <c r="E369" s="306">
        <f>+'COSS Step 1'!F61</f>
        <v>11343121.5</v>
      </c>
      <c r="F369" s="36" t="s">
        <v>7009</v>
      </c>
      <c r="G369" t="str">
        <f>INDEX('Allocator Summary'!$B$8:$B$28,MATCH($F369,'Allocator Summary'!$A$8:$A$28))</f>
        <v>Hydrants</v>
      </c>
      <c r="H369" s="64">
        <f>INDEX('Allocator Summary'!C$8:C$28,MATCH($F369,'Allocator Summary'!$A$8:$A$28))*$E369</f>
        <v>0</v>
      </c>
      <c r="I369" s="64">
        <f>INDEX('Allocator Summary'!D$8:D$28,MATCH($F369,'Allocator Summary'!$A$8:$A$28))*$E369</f>
        <v>0</v>
      </c>
      <c r="J369" s="64">
        <f>INDEX('Allocator Summary'!E$8:E$28,MATCH($F369,'Allocator Summary'!$A$8:$A$28))*$E369</f>
        <v>0</v>
      </c>
      <c r="K369" s="64">
        <f>INDEX('Allocator Summary'!F$8:F$28,MATCH($F369,'Allocator Summary'!$A$8:$A$28))*$E369</f>
        <v>0</v>
      </c>
      <c r="L369" s="64">
        <f>INDEX('Allocator Summary'!G$8:G$28,MATCH($F369,'Allocator Summary'!$A$8:$A$28))*$E369</f>
        <v>0</v>
      </c>
      <c r="M369" s="64">
        <f>INDEX('Allocator Summary'!H$8:H$28,MATCH($F369,'Allocator Summary'!$A$8:$A$28))*$E369</f>
        <v>0</v>
      </c>
      <c r="N369" s="64">
        <f>INDEX('Allocator Summary'!I$8:I$28,MATCH($F369,'Allocator Summary'!$A$8:$A$28))*$E369</f>
        <v>0</v>
      </c>
      <c r="O369" s="64">
        <f>INDEX('Allocator Summary'!J$8:J$26,MATCH($F369,'Allocator Summary'!$A$8:$A$28))*$E369</f>
        <v>0</v>
      </c>
      <c r="P369" s="64">
        <f>INDEX('Allocator Summary'!K$8:K$26,MATCH($F369,'Allocator Summary'!$A$8:$A$28))*$E369</f>
        <v>0</v>
      </c>
      <c r="Q369" s="64">
        <f>INDEX('Allocator Summary'!L$8:L$28,MATCH($F369,'Allocator Summary'!$A$8:$A$28))*$E369</f>
        <v>11343121.5</v>
      </c>
      <c r="R369" s="64">
        <f t="shared" ref="R369" si="140">SUM(H369:Q369)</f>
        <v>11343121.5</v>
      </c>
      <c r="S369" s="64">
        <f>R369-E369</f>
        <v>0</v>
      </c>
    </row>
    <row r="370" spans="1:19" x14ac:dyDescent="0.25">
      <c r="A370" s="88"/>
      <c r="B370" s="89"/>
      <c r="C370" s="2"/>
      <c r="E370" s="327"/>
      <c r="F370" s="36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</row>
    <row r="371" spans="1:19" x14ac:dyDescent="0.25">
      <c r="A371" s="54"/>
      <c r="B371" s="91" t="s">
        <v>31</v>
      </c>
      <c r="C371" s="54"/>
      <c r="E371" s="326"/>
    </row>
    <row r="372" spans="1:19" x14ac:dyDescent="0.25">
      <c r="A372" s="88"/>
      <c r="B372" s="89"/>
      <c r="C372" s="15" t="s">
        <v>8049</v>
      </c>
      <c r="E372" s="306">
        <f>+'COSS Step 1'!F64</f>
        <v>15000</v>
      </c>
      <c r="F372" s="36">
        <v>3</v>
      </c>
      <c r="G372" t="str">
        <f>INDEX('Allocator Summary'!$B$8:$B$28,MATCH($F372,'Allocator Summary'!$A$8:$A$28))</f>
        <v>Fixed O&amp;M</v>
      </c>
      <c r="H372" s="64">
        <f>INDEX('Allocator Summary'!C$8:C$28,MATCH($F372,'Allocator Summary'!$A$8:$A$28))*$E372</f>
        <v>320.86152013854542</v>
      </c>
      <c r="I372" s="64">
        <f>INDEX('Allocator Summary'!D$8:D$28,MATCH($F372,'Allocator Summary'!$A$8:$A$28))*$E372</f>
        <v>2647.6406468972582</v>
      </c>
      <c r="J372" s="64">
        <f>INDEX('Allocator Summary'!E$8:E$28,MATCH($F372,'Allocator Summary'!$A$8:$A$28))*$E372</f>
        <v>1746.1664371602881</v>
      </c>
      <c r="K372" s="64">
        <f>INDEX('Allocator Summary'!F$8:F$28,MATCH($F372,'Allocator Summary'!$A$8:$A$28))*$E372</f>
        <v>899.12593802130539</v>
      </c>
      <c r="L372" s="64">
        <f>INDEX('Allocator Summary'!G$8:G$28,MATCH($F372,'Allocator Summary'!$A$8:$A$28))*$E372</f>
        <v>2731.0052154895561</v>
      </c>
      <c r="M372" s="64">
        <f>INDEX('Allocator Summary'!H$8:H$28,MATCH($F372,'Allocator Summary'!$A$8:$A$28))*$E372</f>
        <v>15.983723878130531</v>
      </c>
      <c r="N372" s="64">
        <f>INDEX('Allocator Summary'!I$8:I$28,MATCH($F372,'Allocator Summary'!$A$8:$A$28))*$E372</f>
        <v>301.97389215875529</v>
      </c>
      <c r="O372" s="64">
        <f>INDEX('Allocator Summary'!J$8:J$26,MATCH($F372,'Allocator Summary'!$A$8:$A$28))*$E372</f>
        <v>61.020988669737243</v>
      </c>
      <c r="P372" s="64">
        <f>INDEX('Allocator Summary'!K$8:K$26,MATCH($F372,'Allocator Summary'!$A$8:$A$28))*$E372</f>
        <v>3963.3313657143808</v>
      </c>
      <c r="Q372" s="64">
        <f>INDEX('Allocator Summary'!L$8:L$28,MATCH($F372,'Allocator Summary'!$A$8:$A$28))*$E372</f>
        <v>2312.8902718720374</v>
      </c>
      <c r="R372" s="64">
        <f t="shared" ref="R372:R400" si="141">SUM(H372:Q372)</f>
        <v>14999.999999999996</v>
      </c>
      <c r="S372" s="64">
        <f t="shared" ref="S372:S400" si="142">R372-E372</f>
        <v>0</v>
      </c>
    </row>
    <row r="373" spans="1:19" x14ac:dyDescent="0.25">
      <c r="A373" s="88"/>
      <c r="B373" s="89"/>
      <c r="C373" s="15" t="s">
        <v>8051</v>
      </c>
      <c r="E373" s="306">
        <f>+'COSS Step 1'!F65</f>
        <v>1119463.5</v>
      </c>
      <c r="F373" s="36">
        <v>3</v>
      </c>
      <c r="G373" t="str">
        <f>INDEX('Allocator Summary'!$B$8:$B$28,MATCH($F373,'Allocator Summary'!$A$8:$A$28))</f>
        <v>Fixed O&amp;M</v>
      </c>
      <c r="H373" s="64">
        <f>INDEX('Allocator Summary'!C$8:C$28,MATCH($F373,'Allocator Summary'!$A$8:$A$28))*$E373</f>
        <v>23946.184023307771</v>
      </c>
      <c r="I373" s="64">
        <f>INDEX('Allocator Summary'!D$8:D$28,MATCH($F373,'Allocator Summary'!$A$8:$A$28))*$E373</f>
        <v>197595.80435452459</v>
      </c>
      <c r="J373" s="64">
        <f>INDEX('Allocator Summary'!E$8:E$28,MATCH($F373,'Allocator Summary'!$A$8:$A$28))*$E373</f>
        <v>130317.97275506574</v>
      </c>
      <c r="K373" s="64">
        <f>INDEX('Allocator Summary'!F$8:F$28,MATCH($F373,'Allocator Summary'!$A$8:$A$28))*$E373</f>
        <v>67102.57796787424</v>
      </c>
      <c r="L373" s="64">
        <f>INDEX('Allocator Summary'!G$8:G$28,MATCH($F373,'Allocator Summary'!$A$8:$A$28))*$E373</f>
        <v>203817.37713667954</v>
      </c>
      <c r="M373" s="64">
        <f>INDEX('Allocator Summary'!H$8:H$28,MATCH($F373,'Allocator Summary'!$A$8:$A$28))*$E373</f>
        <v>1192.8796983763718</v>
      </c>
      <c r="N373" s="64">
        <f>INDEX('Allocator Summary'!I$8:I$28,MATCH($F373,'Allocator Summary'!$A$8:$A$28))*$E373</f>
        <v>22536.583348310851</v>
      </c>
      <c r="O373" s="64">
        <f>INDEX('Allocator Summary'!J$8:J$26,MATCH($F373,'Allocator Summary'!$A$8:$A$28))*$E373</f>
        <v>4554.0513033122934</v>
      </c>
      <c r="P373" s="64">
        <f>INDEX('Allocator Summary'!K$8:K$26,MATCH($F373,'Allocator Summary'!$A$8:$A$28))*$E373</f>
        <v>295786.98682149337</v>
      </c>
      <c r="Q373" s="64">
        <f>INDEX('Allocator Summary'!L$8:L$28,MATCH($F373,'Allocator Summary'!$A$8:$A$28))*$E373</f>
        <v>172613.08259105484</v>
      </c>
      <c r="R373" s="64">
        <f t="shared" si="141"/>
        <v>1119463.4999999995</v>
      </c>
      <c r="S373" s="64">
        <f t="shared" si="142"/>
        <v>0</v>
      </c>
    </row>
    <row r="374" spans="1:19" x14ac:dyDescent="0.25">
      <c r="A374" s="88"/>
      <c r="B374" s="89"/>
      <c r="C374" s="15" t="s">
        <v>8053</v>
      </c>
      <c r="E374" s="306">
        <f>+'COSS Step 1'!F66</f>
        <v>0</v>
      </c>
      <c r="F374" s="36">
        <v>3</v>
      </c>
      <c r="G374" t="str">
        <f>INDEX('Allocator Summary'!$B$8:$B$28,MATCH($F374,'Allocator Summary'!$A$8:$A$28))</f>
        <v>Fixed O&amp;M</v>
      </c>
      <c r="H374" s="64">
        <f>INDEX('Allocator Summary'!C$8:C$28,MATCH($F374,'Allocator Summary'!$A$8:$A$28))*$E374</f>
        <v>0</v>
      </c>
      <c r="I374" s="64">
        <f>INDEX('Allocator Summary'!D$8:D$28,MATCH($F374,'Allocator Summary'!$A$8:$A$28))*$E374</f>
        <v>0</v>
      </c>
      <c r="J374" s="64">
        <f>INDEX('Allocator Summary'!E$8:E$28,MATCH($F374,'Allocator Summary'!$A$8:$A$28))*$E374</f>
        <v>0</v>
      </c>
      <c r="K374" s="64">
        <f>INDEX('Allocator Summary'!F$8:F$28,MATCH($F374,'Allocator Summary'!$A$8:$A$28))*$E374</f>
        <v>0</v>
      </c>
      <c r="L374" s="64">
        <f>INDEX('Allocator Summary'!G$8:G$28,MATCH($F374,'Allocator Summary'!$A$8:$A$28))*$E374</f>
        <v>0</v>
      </c>
      <c r="M374" s="64">
        <f>INDEX('Allocator Summary'!H$8:H$28,MATCH($F374,'Allocator Summary'!$A$8:$A$28))*$E374</f>
        <v>0</v>
      </c>
      <c r="N374" s="64">
        <f>INDEX('Allocator Summary'!I$8:I$28,MATCH($F374,'Allocator Summary'!$A$8:$A$28))*$E374</f>
        <v>0</v>
      </c>
      <c r="O374" s="64">
        <f>INDEX('Allocator Summary'!J$8:J$26,MATCH($F374,'Allocator Summary'!$A$8:$A$28))*$E374</f>
        <v>0</v>
      </c>
      <c r="P374" s="64">
        <f>INDEX('Allocator Summary'!K$8:K$26,MATCH($F374,'Allocator Summary'!$A$8:$A$28))*$E374</f>
        <v>0</v>
      </c>
      <c r="Q374" s="64">
        <f>INDEX('Allocator Summary'!L$8:L$28,MATCH($F374,'Allocator Summary'!$A$8:$A$28))*$E374</f>
        <v>0</v>
      </c>
      <c r="R374" s="64">
        <f t="shared" si="141"/>
        <v>0</v>
      </c>
      <c r="S374" s="64">
        <f t="shared" si="142"/>
        <v>0</v>
      </c>
    </row>
    <row r="375" spans="1:19" x14ac:dyDescent="0.25">
      <c r="A375" s="88"/>
      <c r="B375" s="89"/>
      <c r="C375" s="15" t="s">
        <v>8055</v>
      </c>
      <c r="E375" s="306">
        <f>+'COSS Step 1'!F67</f>
        <v>450242.5</v>
      </c>
      <c r="F375" s="36">
        <v>3</v>
      </c>
      <c r="G375" t="str">
        <f>INDEX('Allocator Summary'!$B$8:$B$28,MATCH($F375,'Allocator Summary'!$A$8:$A$28))</f>
        <v>Fixed O&amp;M</v>
      </c>
      <c r="H375" s="64">
        <f>INDEX('Allocator Summary'!C$8:C$28,MATCH($F375,'Allocator Summary'!$A$8:$A$28))*$E375</f>
        <v>9631.0328653986035</v>
      </c>
      <c r="I375" s="64">
        <f>INDEX('Allocator Summary'!D$8:D$28,MATCH($F375,'Allocator Summary'!$A$8:$A$28))*$E375</f>
        <v>79472.022930709252</v>
      </c>
      <c r="J375" s="64">
        <f>INDEX('Allocator Summary'!E$8:E$28,MATCH($F375,'Allocator Summary'!$A$8:$A$28))*$E375</f>
        <v>52413.222805542733</v>
      </c>
      <c r="K375" s="64">
        <f>INDEX('Allocator Summary'!F$8:F$28,MATCH($F375,'Allocator Summary'!$A$8:$A$28))*$E375</f>
        <v>26988.314009970505</v>
      </c>
      <c r="L375" s="64">
        <f>INDEX('Allocator Summary'!G$8:G$28,MATCH($F375,'Allocator Summary'!$A$8:$A$28))*$E375</f>
        <v>81974.307715670438</v>
      </c>
      <c r="M375" s="64">
        <f>INDEX('Allocator Summary'!H$8:H$28,MATCH($F375,'Allocator Summary'!$A$8:$A$28))*$E375</f>
        <v>479.7701198799457</v>
      </c>
      <c r="N375" s="64">
        <f>INDEX('Allocator Summary'!I$8:I$28,MATCH($F375,'Allocator Summary'!$A$8:$A$28))*$E375</f>
        <v>9064.0986760192263</v>
      </c>
      <c r="O375" s="64">
        <f>INDEX('Allocator Summary'!J$8:J$26,MATCH($F375,'Allocator Summary'!$A$8:$A$28))*$E375</f>
        <v>1831.6161660756113</v>
      </c>
      <c r="P375" s="64">
        <f>INDEX('Allocator Summary'!K$8:K$26,MATCH($F375,'Allocator Summary'!$A$8:$A$28))*$E375</f>
        <v>118964.01482851048</v>
      </c>
      <c r="Q375" s="64">
        <f>INDEX('Allocator Summary'!L$8:L$28,MATCH($F375,'Allocator Summary'!$A$8:$A$28))*$E375</f>
        <v>69424.099882223061</v>
      </c>
      <c r="R375" s="64">
        <f t="shared" si="141"/>
        <v>450242.49999999983</v>
      </c>
      <c r="S375" s="64">
        <f t="shared" si="142"/>
        <v>0</v>
      </c>
    </row>
    <row r="376" spans="1:19" x14ac:dyDescent="0.25">
      <c r="A376" s="88"/>
      <c r="B376" s="89"/>
      <c r="C376" s="15" t="s">
        <v>8057</v>
      </c>
      <c r="E376" s="306">
        <f>+'COSS Step 1'!F68</f>
        <v>0</v>
      </c>
      <c r="F376" s="36">
        <v>3</v>
      </c>
      <c r="G376" t="str">
        <f>INDEX('Allocator Summary'!$B$8:$B$28,MATCH($F376,'Allocator Summary'!$A$8:$A$28))</f>
        <v>Fixed O&amp;M</v>
      </c>
      <c r="H376" s="64">
        <f>INDEX('Allocator Summary'!C$8:C$28,MATCH($F376,'Allocator Summary'!$A$8:$A$28))*$E376</f>
        <v>0</v>
      </c>
      <c r="I376" s="64">
        <f>INDEX('Allocator Summary'!D$8:D$28,MATCH($F376,'Allocator Summary'!$A$8:$A$28))*$E376</f>
        <v>0</v>
      </c>
      <c r="J376" s="64">
        <f>INDEX('Allocator Summary'!E$8:E$28,MATCH($F376,'Allocator Summary'!$A$8:$A$28))*$E376</f>
        <v>0</v>
      </c>
      <c r="K376" s="64">
        <f>INDEX('Allocator Summary'!F$8:F$28,MATCH($F376,'Allocator Summary'!$A$8:$A$28))*$E376</f>
        <v>0</v>
      </c>
      <c r="L376" s="64">
        <f>INDEX('Allocator Summary'!G$8:G$28,MATCH($F376,'Allocator Summary'!$A$8:$A$28))*$E376</f>
        <v>0</v>
      </c>
      <c r="M376" s="64">
        <f>INDEX('Allocator Summary'!H$8:H$28,MATCH($F376,'Allocator Summary'!$A$8:$A$28))*$E376</f>
        <v>0</v>
      </c>
      <c r="N376" s="64">
        <f>INDEX('Allocator Summary'!I$8:I$28,MATCH($F376,'Allocator Summary'!$A$8:$A$28))*$E376</f>
        <v>0</v>
      </c>
      <c r="O376" s="64">
        <f>INDEX('Allocator Summary'!J$8:J$26,MATCH($F376,'Allocator Summary'!$A$8:$A$28))*$E376</f>
        <v>0</v>
      </c>
      <c r="P376" s="64">
        <f>INDEX('Allocator Summary'!K$8:K$26,MATCH($F376,'Allocator Summary'!$A$8:$A$28))*$E376</f>
        <v>0</v>
      </c>
      <c r="Q376" s="64">
        <f>INDEX('Allocator Summary'!L$8:L$28,MATCH($F376,'Allocator Summary'!$A$8:$A$28))*$E376</f>
        <v>0</v>
      </c>
      <c r="R376" s="64">
        <f t="shared" si="141"/>
        <v>0</v>
      </c>
      <c r="S376" s="64">
        <f t="shared" si="142"/>
        <v>0</v>
      </c>
    </row>
    <row r="377" spans="1:19" x14ac:dyDescent="0.25">
      <c r="A377" s="88"/>
      <c r="B377" s="89"/>
      <c r="C377" s="15" t="s">
        <v>8059</v>
      </c>
      <c r="E377" s="306">
        <f>+'COSS Step 1'!F69</f>
        <v>35699</v>
      </c>
      <c r="F377" s="36">
        <v>3</v>
      </c>
      <c r="G377" t="str">
        <f>INDEX('Allocator Summary'!$B$8:$B$28,MATCH($F377,'Allocator Summary'!$A$8:$A$28))</f>
        <v>Fixed O&amp;M</v>
      </c>
      <c r="H377" s="64">
        <f>INDEX('Allocator Summary'!C$8:C$28,MATCH($F377,'Allocator Summary'!$A$8:$A$28))*$E377</f>
        <v>763.62902716172891</v>
      </c>
      <c r="I377" s="64">
        <f>INDEX('Allocator Summary'!D$8:D$28,MATCH($F377,'Allocator Summary'!$A$8:$A$28))*$E377</f>
        <v>6301.2082302390145</v>
      </c>
      <c r="J377" s="64">
        <f>INDEX('Allocator Summary'!E$8:E$28,MATCH($F377,'Allocator Summary'!$A$8:$A$28))*$E377</f>
        <v>4155.7597093456752</v>
      </c>
      <c r="K377" s="64">
        <f>INDEX('Allocator Summary'!F$8:F$28,MATCH($F377,'Allocator Summary'!$A$8:$A$28))*$E377</f>
        <v>2139.8597907615053</v>
      </c>
      <c r="L377" s="64">
        <f>INDEX('Allocator Summary'!G$8:G$28,MATCH($F377,'Allocator Summary'!$A$8:$A$28))*$E377</f>
        <v>6499.6103458507778</v>
      </c>
      <c r="M377" s="64">
        <f>INDEX('Allocator Summary'!H$8:H$28,MATCH($F377,'Allocator Summary'!$A$8:$A$28))*$E377</f>
        <v>38.040197248358787</v>
      </c>
      <c r="N377" s="64">
        <f>INDEX('Allocator Summary'!I$8:I$28,MATCH($F377,'Allocator Summary'!$A$8:$A$28))*$E377</f>
        <v>718.67773174502702</v>
      </c>
      <c r="O377" s="64">
        <f>INDEX('Allocator Summary'!J$8:J$26,MATCH($F377,'Allocator Summary'!$A$8:$A$28))*$E377</f>
        <v>145.22588496806333</v>
      </c>
      <c r="P377" s="64">
        <f>INDEX('Allocator Summary'!K$8:K$26,MATCH($F377,'Allocator Summary'!$A$8:$A$28))*$E377</f>
        <v>9432.4644283091784</v>
      </c>
      <c r="Q377" s="64">
        <f>INDEX('Allocator Summary'!L$8:L$28,MATCH($F377,'Allocator Summary'!$A$8:$A$28))*$E377</f>
        <v>5504.524654370658</v>
      </c>
      <c r="R377" s="64">
        <f t="shared" si="141"/>
        <v>35698.999999999993</v>
      </c>
      <c r="S377" s="64">
        <f t="shared" si="142"/>
        <v>0</v>
      </c>
    </row>
    <row r="378" spans="1:19" x14ac:dyDescent="0.25">
      <c r="A378" s="88"/>
      <c r="B378" s="89"/>
      <c r="C378" s="15" t="s">
        <v>8061</v>
      </c>
      <c r="E378" s="306">
        <f>+'COSS Step 1'!F70</f>
        <v>456526.5</v>
      </c>
      <c r="F378" s="36">
        <v>3</v>
      </c>
      <c r="G378" t="str">
        <f>INDEX('Allocator Summary'!$B$8:$B$28,MATCH($F378,'Allocator Summary'!$A$8:$A$28))</f>
        <v>Fixed O&amp;M</v>
      </c>
      <c r="H378" s="64">
        <f>INDEX('Allocator Summary'!C$8:C$28,MATCH($F378,'Allocator Summary'!$A$8:$A$28))*$E378</f>
        <v>9765.4524515686444</v>
      </c>
      <c r="I378" s="64">
        <f>INDEX('Allocator Summary'!D$8:D$28,MATCH($F378,'Allocator Summary'!$A$8:$A$28))*$E378</f>
        <v>80581.207852382737</v>
      </c>
      <c r="J378" s="64">
        <f>INDEX('Allocator Summary'!E$8:E$28,MATCH($F378,'Allocator Summary'!$A$8:$A$28))*$E378</f>
        <v>53144.750131617082</v>
      </c>
      <c r="K378" s="64">
        <f>INDEX('Allocator Summary'!F$8:F$28,MATCH($F378,'Allocator Summary'!$A$8:$A$28))*$E378</f>
        <v>27364.98783627223</v>
      </c>
      <c r="L378" s="64">
        <f>INDEX('Allocator Summary'!G$8:G$28,MATCH($F378,'Allocator Summary'!$A$8:$A$28))*$E378</f>
        <v>83118.41683394619</v>
      </c>
      <c r="M378" s="64">
        <f>INDEX('Allocator Summary'!H$8:H$28,MATCH($F378,'Allocator Summary'!$A$8:$A$28))*$E378</f>
        <v>486.4662346032905</v>
      </c>
      <c r="N378" s="64">
        <f>INDEX('Allocator Summary'!I$8:I$28,MATCH($F378,'Allocator Summary'!$A$8:$A$28))*$E378</f>
        <v>9190.6056052409331</v>
      </c>
      <c r="O378" s="64">
        <f>INDEX('Allocator Summary'!J$8:J$26,MATCH($F378,'Allocator Summary'!$A$8:$A$28))*$E378</f>
        <v>1857.17989226232</v>
      </c>
      <c r="P378" s="64">
        <f>INDEX('Allocator Summary'!K$8:K$26,MATCH($F378,'Allocator Summary'!$A$8:$A$28))*$E378</f>
        <v>120624.38644865375</v>
      </c>
      <c r="Q378" s="64">
        <f>INDEX('Allocator Summary'!L$8:L$28,MATCH($F378,'Allocator Summary'!$A$8:$A$28))*$E378</f>
        <v>70393.046713452641</v>
      </c>
      <c r="R378" s="64">
        <f t="shared" si="141"/>
        <v>456526.49999999988</v>
      </c>
      <c r="S378" s="64">
        <f t="shared" si="142"/>
        <v>0</v>
      </c>
    </row>
    <row r="379" spans="1:19" x14ac:dyDescent="0.25">
      <c r="A379" s="88"/>
      <c r="B379" s="89"/>
      <c r="C379" s="15" t="s">
        <v>8063</v>
      </c>
      <c r="E379" s="306">
        <f>+'COSS Step 1'!F71</f>
        <v>0</v>
      </c>
      <c r="F379" s="36">
        <v>3</v>
      </c>
      <c r="G379" t="str">
        <f>INDEX('Allocator Summary'!$B$8:$B$28,MATCH($F379,'Allocator Summary'!$A$8:$A$28))</f>
        <v>Fixed O&amp;M</v>
      </c>
      <c r="H379" s="64">
        <f>INDEX('Allocator Summary'!C$8:C$28,MATCH($F379,'Allocator Summary'!$A$8:$A$28))*$E379</f>
        <v>0</v>
      </c>
      <c r="I379" s="64">
        <f>INDEX('Allocator Summary'!D$8:D$28,MATCH($F379,'Allocator Summary'!$A$8:$A$28))*$E379</f>
        <v>0</v>
      </c>
      <c r="J379" s="64">
        <f>INDEX('Allocator Summary'!E$8:E$28,MATCH($F379,'Allocator Summary'!$A$8:$A$28))*$E379</f>
        <v>0</v>
      </c>
      <c r="K379" s="64">
        <f>INDEX('Allocator Summary'!F$8:F$28,MATCH($F379,'Allocator Summary'!$A$8:$A$28))*$E379</f>
        <v>0</v>
      </c>
      <c r="L379" s="64">
        <f>INDEX('Allocator Summary'!G$8:G$28,MATCH($F379,'Allocator Summary'!$A$8:$A$28))*$E379</f>
        <v>0</v>
      </c>
      <c r="M379" s="64">
        <f>INDEX('Allocator Summary'!H$8:H$28,MATCH($F379,'Allocator Summary'!$A$8:$A$28))*$E379</f>
        <v>0</v>
      </c>
      <c r="N379" s="64">
        <f>INDEX('Allocator Summary'!I$8:I$28,MATCH($F379,'Allocator Summary'!$A$8:$A$28))*$E379</f>
        <v>0</v>
      </c>
      <c r="O379" s="64">
        <f>INDEX('Allocator Summary'!J$8:J$26,MATCH($F379,'Allocator Summary'!$A$8:$A$28))*$E379</f>
        <v>0</v>
      </c>
      <c r="P379" s="64">
        <f>INDEX('Allocator Summary'!K$8:K$26,MATCH($F379,'Allocator Summary'!$A$8:$A$28))*$E379</f>
        <v>0</v>
      </c>
      <c r="Q379" s="64">
        <f>INDEX('Allocator Summary'!L$8:L$28,MATCH($F379,'Allocator Summary'!$A$8:$A$28))*$E379</f>
        <v>0</v>
      </c>
      <c r="R379" s="64">
        <f t="shared" si="141"/>
        <v>0</v>
      </c>
      <c r="S379" s="64">
        <f t="shared" si="142"/>
        <v>0</v>
      </c>
    </row>
    <row r="380" spans="1:19" x14ac:dyDescent="0.25">
      <c r="A380" s="88"/>
      <c r="B380" s="89"/>
      <c r="C380" s="15" t="s">
        <v>8065</v>
      </c>
      <c r="E380" s="306">
        <f>+'COSS Step 1'!F72</f>
        <v>231771</v>
      </c>
      <c r="F380" s="36">
        <v>3</v>
      </c>
      <c r="G380" t="str">
        <f>INDEX('Allocator Summary'!$B$8:$B$28,MATCH($F380,'Allocator Summary'!$A$8:$A$28))</f>
        <v>Fixed O&amp;M</v>
      </c>
      <c r="H380" s="64">
        <f>INDEX('Allocator Summary'!C$8:C$28,MATCH($F380,'Allocator Summary'!$A$8:$A$28))*$E380</f>
        <v>4957.7596922687208</v>
      </c>
      <c r="I380" s="64">
        <f>INDEX('Allocator Summary'!D$8:D$28,MATCH($F380,'Allocator Summary'!$A$8:$A$28))*$E380</f>
        <v>40909.754691468297</v>
      </c>
      <c r="J380" s="64">
        <f>INDEX('Allocator Summary'!E$8:E$28,MATCH($F380,'Allocator Summary'!$A$8:$A$28))*$E380</f>
        <v>26980.716087138477</v>
      </c>
      <c r="K380" s="64">
        <f>INDEX('Allocator Summary'!F$8:F$28,MATCH($F380,'Allocator Summary'!$A$8:$A$28))*$E380</f>
        <v>13892.754518742398</v>
      </c>
      <c r="L380" s="64">
        <f>INDEX('Allocator Summary'!G$8:G$28,MATCH($F380,'Allocator Summary'!$A$8:$A$28))*$E380</f>
        <v>42197.85398661533</v>
      </c>
      <c r="M380" s="64">
        <f>INDEX('Allocator Summary'!H$8:H$28,MATCH($F380,'Allocator Summary'!$A$8:$A$28))*$E380</f>
        <v>246.97091113054609</v>
      </c>
      <c r="N380" s="64">
        <f>INDEX('Allocator Summary'!I$8:I$28,MATCH($F380,'Allocator Summary'!$A$8:$A$28))*$E380</f>
        <v>4665.9193973017918</v>
      </c>
      <c r="O380" s="64">
        <f>INDEX('Allocator Summary'!J$8:J$26,MATCH($F380,'Allocator Summary'!$A$8:$A$28))*$E380</f>
        <v>942.85970433157809</v>
      </c>
      <c r="P380" s="64">
        <f>INDEX('Allocator Summary'!K$8:K$26,MATCH($F380,'Allocator Summary'!$A$8:$A$28))*$E380</f>
        <v>61239.018264199185</v>
      </c>
      <c r="Q380" s="64">
        <f>INDEX('Allocator Summary'!L$8:L$28,MATCH($F380,'Allocator Summary'!$A$8:$A$28))*$E380</f>
        <v>35737.392746803598</v>
      </c>
      <c r="R380" s="64">
        <f t="shared" si="141"/>
        <v>231770.99999999988</v>
      </c>
      <c r="S380" s="64">
        <f t="shared" si="142"/>
        <v>0</v>
      </c>
    </row>
    <row r="381" spans="1:19" x14ac:dyDescent="0.25">
      <c r="A381" s="88"/>
      <c r="B381" s="89"/>
      <c r="C381" s="15" t="s">
        <v>8067</v>
      </c>
      <c r="E381" s="306">
        <f>+'COSS Step 1'!F73</f>
        <v>2101495</v>
      </c>
      <c r="F381" s="36">
        <v>3</v>
      </c>
      <c r="G381" t="str">
        <f>INDEX('Allocator Summary'!$B$8:$B$28,MATCH($F381,'Allocator Summary'!$A$8:$A$28))</f>
        <v>Fixed O&amp;M</v>
      </c>
      <c r="H381" s="64">
        <f>INDEX('Allocator Summary'!C$8:C$28,MATCH($F381,'Allocator Summary'!$A$8:$A$28))*$E381</f>
        <v>44952.592017570169</v>
      </c>
      <c r="I381" s="64">
        <f>INDEX('Allocator Summary'!D$8:D$28,MATCH($F381,'Allocator Summary'!$A$8:$A$28))*$E381</f>
        <v>370933.57208342355</v>
      </c>
      <c r="J381" s="64">
        <f>INDEX('Allocator Summary'!E$8:E$28,MATCH($F381,'Allocator Summary'!$A$8:$A$28))*$E381</f>
        <v>244637.33579067732</v>
      </c>
      <c r="K381" s="64">
        <f>INDEX('Allocator Summary'!F$8:F$28,MATCH($F381,'Allocator Summary'!$A$8:$A$28))*$E381</f>
        <v>125967.24420813887</v>
      </c>
      <c r="L381" s="64">
        <f>INDEX('Allocator Summary'!G$8:G$28,MATCH($F381,'Allocator Summary'!$A$8:$A$28))*$E381</f>
        <v>382612.92035501503</v>
      </c>
      <c r="M381" s="64">
        <f>INDEX('Allocator Summary'!H$8:H$28,MATCH($F381,'Allocator Summary'!$A$8:$A$28))*$E381</f>
        <v>2239.3143874181278</v>
      </c>
      <c r="N381" s="64">
        <f>INDEX('Allocator Summary'!I$8:I$28,MATCH($F381,'Allocator Summary'!$A$8:$A$28))*$E381</f>
        <v>42306.441633477567</v>
      </c>
      <c r="O381" s="64">
        <f>INDEX('Allocator Summary'!J$8:J$26,MATCH($F381,'Allocator Summary'!$A$8:$A$28))*$E381</f>
        <v>8549.0201723006321</v>
      </c>
      <c r="P381" s="64">
        <f>INDEX('Allocator Summary'!K$8:K$26,MATCH($F381,'Allocator Summary'!$A$8:$A$28))*$E381</f>
        <v>555261.40322612948</v>
      </c>
      <c r="Q381" s="64">
        <f>INDEX('Allocator Summary'!L$8:L$28,MATCH($F381,'Allocator Summary'!$A$8:$A$28))*$E381</f>
        <v>324035.15612584847</v>
      </c>
      <c r="R381" s="64">
        <f t="shared" si="141"/>
        <v>2101494.9999999991</v>
      </c>
      <c r="S381" s="64">
        <f t="shared" si="142"/>
        <v>0</v>
      </c>
    </row>
    <row r="382" spans="1:19" x14ac:dyDescent="0.25">
      <c r="A382" s="88"/>
      <c r="B382" s="89"/>
      <c r="C382" s="15" t="s">
        <v>8069</v>
      </c>
      <c r="E382" s="306">
        <f>+'COSS Step 1'!F74</f>
        <v>2809586</v>
      </c>
      <c r="F382" s="36">
        <v>3</v>
      </c>
      <c r="G382" t="str">
        <f>INDEX('Allocator Summary'!$B$8:$B$28,MATCH($F382,'Allocator Summary'!$A$8:$A$28))</f>
        <v>Fixed O&amp;M</v>
      </c>
      <c r="H382" s="64">
        <f>INDEX('Allocator Summary'!C$8:C$28,MATCH($F382,'Allocator Summary'!$A$8:$A$28))*$E382</f>
        <v>60099.202327998355</v>
      </c>
      <c r="I382" s="64">
        <f>INDEX('Allocator Summary'!D$8:D$28,MATCH($F382,'Allocator Summary'!$A$8:$A$28))*$E382</f>
        <v>495918.27297023201</v>
      </c>
      <c r="J382" s="64">
        <f>INDEX('Allocator Summary'!E$8:E$28,MATCH($F382,'Allocator Summary'!$A$8:$A$28))*$E382</f>
        <v>327066.98503436166</v>
      </c>
      <c r="K382" s="64">
        <f>INDEX('Allocator Summary'!F$8:F$28,MATCH($F382,'Allocator Summary'!$A$8:$A$28))*$E382</f>
        <v>168411.44318010181</v>
      </c>
      <c r="L382" s="64">
        <f>INDEX('Allocator Summary'!G$8:G$28,MATCH($F382,'Allocator Summary'!$A$8:$A$28))*$E382</f>
        <v>511532.93462442938</v>
      </c>
      <c r="M382" s="64">
        <f>INDEX('Allocator Summary'!H$8:H$28,MATCH($F382,'Allocator Summary'!$A$8:$A$28))*$E382</f>
        <v>2993.8431223907496</v>
      </c>
      <c r="N382" s="64">
        <f>INDEX('Allocator Summary'!I$8:I$28,MATCH($F382,'Allocator Summary'!$A$8:$A$28))*$E382</f>
        <v>56561.441318316582</v>
      </c>
      <c r="O382" s="64">
        <f>INDEX('Allocator Summary'!J$8:J$26,MATCH($F382,'Allocator Summary'!$A$8:$A$28))*$E382</f>
        <v>11429.581031510159</v>
      </c>
      <c r="P382" s="64">
        <f>INDEX('Allocator Summary'!K$8:K$26,MATCH($F382,'Allocator Summary'!$A$8:$A$28))*$E382</f>
        <v>742354.68789813365</v>
      </c>
      <c r="Q382" s="64">
        <f>INDEX('Allocator Summary'!L$8:L$28,MATCH($F382,'Allocator Summary'!$A$8:$A$28))*$E382</f>
        <v>433217.60849252471</v>
      </c>
      <c r="R382" s="64">
        <f t="shared" si="141"/>
        <v>2809585.9999999995</v>
      </c>
      <c r="S382" s="64">
        <f t="shared" si="142"/>
        <v>0</v>
      </c>
    </row>
    <row r="383" spans="1:19" x14ac:dyDescent="0.25">
      <c r="A383" s="88"/>
      <c r="B383" s="89"/>
      <c r="C383" s="15" t="s">
        <v>8071</v>
      </c>
      <c r="E383" s="306">
        <f>+'COSS Step 1'!F75</f>
        <v>0</v>
      </c>
      <c r="F383" s="36">
        <v>3</v>
      </c>
      <c r="G383" t="str">
        <f>INDEX('Allocator Summary'!$B$8:$B$28,MATCH($F383,'Allocator Summary'!$A$8:$A$28))</f>
        <v>Fixed O&amp;M</v>
      </c>
      <c r="H383" s="64">
        <f>INDEX('Allocator Summary'!C$8:C$28,MATCH($F383,'Allocator Summary'!$A$8:$A$28))*$E383</f>
        <v>0</v>
      </c>
      <c r="I383" s="64">
        <f>INDEX('Allocator Summary'!D$8:D$28,MATCH($F383,'Allocator Summary'!$A$8:$A$28))*$E383</f>
        <v>0</v>
      </c>
      <c r="J383" s="64">
        <f>INDEX('Allocator Summary'!E$8:E$28,MATCH($F383,'Allocator Summary'!$A$8:$A$28))*$E383</f>
        <v>0</v>
      </c>
      <c r="K383" s="64">
        <f>INDEX('Allocator Summary'!F$8:F$28,MATCH($F383,'Allocator Summary'!$A$8:$A$28))*$E383</f>
        <v>0</v>
      </c>
      <c r="L383" s="64">
        <f>INDEX('Allocator Summary'!G$8:G$28,MATCH($F383,'Allocator Summary'!$A$8:$A$28))*$E383</f>
        <v>0</v>
      </c>
      <c r="M383" s="64">
        <f>INDEX('Allocator Summary'!H$8:H$28,MATCH($F383,'Allocator Summary'!$A$8:$A$28))*$E383</f>
        <v>0</v>
      </c>
      <c r="N383" s="64">
        <f>INDEX('Allocator Summary'!I$8:I$28,MATCH($F383,'Allocator Summary'!$A$8:$A$28))*$E383</f>
        <v>0</v>
      </c>
      <c r="O383" s="64">
        <f>INDEX('Allocator Summary'!J$8:J$26,MATCH($F383,'Allocator Summary'!$A$8:$A$28))*$E383</f>
        <v>0</v>
      </c>
      <c r="P383" s="64">
        <f>INDEX('Allocator Summary'!K$8:K$26,MATCH($F383,'Allocator Summary'!$A$8:$A$28))*$E383</f>
        <v>0</v>
      </c>
      <c r="Q383" s="64">
        <f>INDEX('Allocator Summary'!L$8:L$28,MATCH($F383,'Allocator Summary'!$A$8:$A$28))*$E383</f>
        <v>0</v>
      </c>
      <c r="R383" s="64">
        <f t="shared" si="141"/>
        <v>0</v>
      </c>
      <c r="S383" s="64">
        <f t="shared" si="142"/>
        <v>0</v>
      </c>
    </row>
    <row r="384" spans="1:19" x14ac:dyDescent="0.25">
      <c r="A384" s="88"/>
      <c r="B384" s="89"/>
      <c r="C384" s="15" t="s">
        <v>8073</v>
      </c>
      <c r="E384" s="306">
        <f>+'COSS Step 1'!F76</f>
        <v>0</v>
      </c>
      <c r="F384" s="36">
        <v>3</v>
      </c>
      <c r="G384" t="str">
        <f>INDEX('Allocator Summary'!$B$8:$B$28,MATCH($F384,'Allocator Summary'!$A$8:$A$28))</f>
        <v>Fixed O&amp;M</v>
      </c>
      <c r="H384" s="64">
        <f>INDEX('Allocator Summary'!C$8:C$28,MATCH($F384,'Allocator Summary'!$A$8:$A$28))*$E384</f>
        <v>0</v>
      </c>
      <c r="I384" s="64">
        <f>INDEX('Allocator Summary'!D$8:D$28,MATCH($F384,'Allocator Summary'!$A$8:$A$28))*$E384</f>
        <v>0</v>
      </c>
      <c r="J384" s="64">
        <f>INDEX('Allocator Summary'!E$8:E$28,MATCH($F384,'Allocator Summary'!$A$8:$A$28))*$E384</f>
        <v>0</v>
      </c>
      <c r="K384" s="64">
        <f>INDEX('Allocator Summary'!F$8:F$28,MATCH($F384,'Allocator Summary'!$A$8:$A$28))*$E384</f>
        <v>0</v>
      </c>
      <c r="L384" s="64">
        <f>INDEX('Allocator Summary'!G$8:G$28,MATCH($F384,'Allocator Summary'!$A$8:$A$28))*$E384</f>
        <v>0</v>
      </c>
      <c r="M384" s="64">
        <f>INDEX('Allocator Summary'!H$8:H$28,MATCH($F384,'Allocator Summary'!$A$8:$A$28))*$E384</f>
        <v>0</v>
      </c>
      <c r="N384" s="64">
        <f>INDEX('Allocator Summary'!I$8:I$28,MATCH($F384,'Allocator Summary'!$A$8:$A$28))*$E384</f>
        <v>0</v>
      </c>
      <c r="O384" s="64">
        <f>INDEX('Allocator Summary'!J$8:J$26,MATCH($F384,'Allocator Summary'!$A$8:$A$28))*$E384</f>
        <v>0</v>
      </c>
      <c r="P384" s="64">
        <f>INDEX('Allocator Summary'!K$8:K$26,MATCH($F384,'Allocator Summary'!$A$8:$A$28))*$E384</f>
        <v>0</v>
      </c>
      <c r="Q384" s="64">
        <f>INDEX('Allocator Summary'!L$8:L$28,MATCH($F384,'Allocator Summary'!$A$8:$A$28))*$E384</f>
        <v>0</v>
      </c>
      <c r="R384" s="64">
        <f t="shared" si="141"/>
        <v>0</v>
      </c>
      <c r="S384" s="64">
        <f t="shared" si="142"/>
        <v>0</v>
      </c>
    </row>
    <row r="385" spans="1:19" x14ac:dyDescent="0.25">
      <c r="A385" s="88"/>
      <c r="B385" s="89"/>
      <c r="C385" s="15" t="s">
        <v>8075</v>
      </c>
      <c r="E385" s="306">
        <f>+'COSS Step 1'!F77</f>
        <v>394531.5</v>
      </c>
      <c r="F385" s="36">
        <v>3</v>
      </c>
      <c r="G385" t="str">
        <f>INDEX('Allocator Summary'!$B$8:$B$28,MATCH($F385,'Allocator Summary'!$A$8:$A$28))</f>
        <v>Fixed O&amp;M</v>
      </c>
      <c r="H385" s="64">
        <f>INDEX('Allocator Summary'!C$8:C$28,MATCH($F385,'Allocator Summary'!$A$8:$A$28))*$E385</f>
        <v>8439.3317888360361</v>
      </c>
      <c r="I385" s="64">
        <f>INDEX('Allocator Summary'!D$8:D$28,MATCH($F385,'Allocator Summary'!$A$8:$A$28))*$E385</f>
        <v>69638.509058756375</v>
      </c>
      <c r="J385" s="64">
        <f>INDEX('Allocator Summary'!E$8:E$28,MATCH($F385,'Allocator Summary'!$A$8:$A$28))*$E385</f>
        <v>45927.844246833614</v>
      </c>
      <c r="K385" s="64">
        <f>INDEX('Allocator Summary'!F$8:F$28,MATCH($F385,'Allocator Summary'!$A$8:$A$28))*$E385</f>
        <v>23648.900334430175</v>
      </c>
      <c r="L385" s="64">
        <f>INDEX('Allocator Summary'!G$8:G$28,MATCH($F385,'Allocator Summary'!$A$8:$A$28))*$E385</f>
        <v>71831.172278327853</v>
      </c>
      <c r="M385" s="64">
        <f>INDEX('Allocator Summary'!H$8:H$28,MATCH($F385,'Allocator Summary'!$A$8:$A$28))*$E385</f>
        <v>420.40550381497701</v>
      </c>
      <c r="N385" s="64">
        <f>INDEX('Allocator Summary'!I$8:I$28,MATCH($F385,'Allocator Summary'!$A$8:$A$28))*$E385</f>
        <v>7942.5475089487982</v>
      </c>
      <c r="O385" s="64">
        <f>INDEX('Allocator Summary'!J$8:J$26,MATCH($F385,'Allocator Summary'!$A$8:$A$28))*$E385</f>
        <v>1604.9801460902959</v>
      </c>
      <c r="P385" s="64">
        <f>INDEX('Allocator Summary'!K$8:K$26,MATCH($F385,'Allocator Summary'!$A$8:$A$28))*$E385</f>
        <v>104243.93791415622</v>
      </c>
      <c r="Q385" s="64">
        <f>INDEX('Allocator Summary'!L$8:L$28,MATCH($F385,'Allocator Summary'!$A$8:$A$28))*$E385</f>
        <v>60833.871219805515</v>
      </c>
      <c r="R385" s="64">
        <f t="shared" si="141"/>
        <v>394531.49999999988</v>
      </c>
      <c r="S385" s="64">
        <f t="shared" si="142"/>
        <v>0</v>
      </c>
    </row>
    <row r="386" spans="1:19" x14ac:dyDescent="0.25">
      <c r="A386" s="88"/>
      <c r="B386" s="89"/>
      <c r="C386" s="15" t="s">
        <v>8077</v>
      </c>
      <c r="E386" s="306">
        <f>+'COSS Step 1'!F78</f>
        <v>-135103.5</v>
      </c>
      <c r="F386" s="36">
        <v>3</v>
      </c>
      <c r="G386" t="str">
        <f>INDEX('Allocator Summary'!$B$8:$B$28,MATCH($F386,'Allocator Summary'!$A$8:$A$28))</f>
        <v>Fixed O&amp;M</v>
      </c>
      <c r="H386" s="64">
        <f>INDEX('Allocator Summary'!C$8:C$28,MATCH($F386,'Allocator Summary'!$A$8:$A$28))*$E386</f>
        <v>-2889.9676257358651</v>
      </c>
      <c r="I386" s="64">
        <f>INDEX('Allocator Summary'!D$8:D$28,MATCH($F386,'Allocator Summary'!$A$8:$A$28))*$E386</f>
        <v>-23847.034542538913</v>
      </c>
      <c r="J386" s="64">
        <f>INDEX('Allocator Summary'!E$8:E$28,MATCH($F386,'Allocator Summary'!$A$8:$A$28))*$E386</f>
        <v>-15727.546482858999</v>
      </c>
      <c r="K386" s="64">
        <f>INDEX('Allocator Summary'!F$8:F$28,MATCH($F386,'Allocator Summary'!$A$8:$A$28))*$E386</f>
        <v>-8098.3374111640951</v>
      </c>
      <c r="L386" s="64">
        <f>INDEX('Allocator Summary'!G$8:G$28,MATCH($F386,'Allocator Summary'!$A$8:$A$28))*$E386</f>
        <v>-24597.890875392884</v>
      </c>
      <c r="M386" s="64">
        <f>INDEX('Allocator Summary'!H$8:H$28,MATCH($F386,'Allocator Summary'!$A$8:$A$28))*$E386</f>
        <v>-143.96380259793386</v>
      </c>
      <c r="N386" s="64">
        <f>INDEX('Allocator Summary'!I$8:I$28,MATCH($F386,'Allocator Summary'!$A$8:$A$28))*$E386</f>
        <v>-2719.8486492846932</v>
      </c>
      <c r="O386" s="64">
        <f>INDEX('Allocator Summary'!J$8:J$26,MATCH($F386,'Allocator Summary'!$A$8:$A$28))*$E386</f>
        <v>-549.60994284945639</v>
      </c>
      <c r="P386" s="64">
        <f>INDEX('Allocator Summary'!K$8:K$26,MATCH($F386,'Allocator Summary'!$A$8:$A$28))*$E386</f>
        <v>-35697.329277852856</v>
      </c>
      <c r="Q386" s="64">
        <f>INDEX('Allocator Summary'!L$8:L$28,MATCH($F386,'Allocator Summary'!$A$8:$A$28))*$E386</f>
        <v>-20831.971389724255</v>
      </c>
      <c r="R386" s="64">
        <f t="shared" si="141"/>
        <v>-135103.49999999997</v>
      </c>
      <c r="S386" s="64">
        <f t="shared" si="142"/>
        <v>0</v>
      </c>
    </row>
    <row r="387" spans="1:19" x14ac:dyDescent="0.25">
      <c r="A387" s="88"/>
      <c r="B387" s="89"/>
      <c r="C387" s="15" t="s">
        <v>8079</v>
      </c>
      <c r="E387" s="306">
        <f>+'COSS Step 1'!F79</f>
        <v>349454.5</v>
      </c>
      <c r="F387" s="36">
        <v>3</v>
      </c>
      <c r="G387" t="str">
        <f>INDEX('Allocator Summary'!$B$8:$B$28,MATCH($F387,'Allocator Summary'!$A$8:$A$28))</f>
        <v>Fixed O&amp;M</v>
      </c>
      <c r="H387" s="64">
        <f>INDEX('Allocator Summary'!C$8:C$28,MATCH($F387,'Allocator Summary'!$A$8:$A$28))*$E387</f>
        <v>7475.1001392836888</v>
      </c>
      <c r="I387" s="64">
        <f>INDEX('Allocator Summary'!D$8:D$28,MATCH($F387,'Allocator Summary'!$A$8:$A$28))*$E387</f>
        <v>61681.995896077191</v>
      </c>
      <c r="J387" s="64">
        <f>INDEX('Allocator Summary'!E$8:E$28,MATCH($F387,'Allocator Summary'!$A$8:$A$28))*$E387</f>
        <v>40680.381280975329</v>
      </c>
      <c r="K387" s="64">
        <f>INDEX('Allocator Summary'!F$8:F$28,MATCH($F387,'Allocator Summary'!$A$8:$A$28))*$E387</f>
        <v>20946.907007217749</v>
      </c>
      <c r="L387" s="64">
        <f>INDEX('Allocator Summary'!G$8:G$28,MATCH($F387,'Allocator Summary'!$A$8:$A$28))*$E387</f>
        <v>63624.137471753013</v>
      </c>
      <c r="M387" s="64">
        <f>INDEX('Allocator Summary'!H$8:H$28,MATCH($F387,'Allocator Summary'!$A$8:$A$28))*$E387</f>
        <v>372.37228239801107</v>
      </c>
      <c r="N387" s="64">
        <f>INDEX('Allocator Summary'!I$8:I$28,MATCH($F387,'Allocator Summary'!$A$8:$A$28))*$E387</f>
        <v>7035.0756998261168</v>
      </c>
      <c r="O387" s="64">
        <f>INDEX('Allocator Summary'!J$8:J$26,MATCH($F387,'Allocator Summary'!$A$8:$A$28))*$E387</f>
        <v>1421.6039390059129</v>
      </c>
      <c r="P387" s="64">
        <f>INDEX('Allocator Summary'!K$8:K$26,MATCH($F387,'Allocator Summary'!$A$8:$A$28))*$E387</f>
        <v>92333.598716002409</v>
      </c>
      <c r="Q387" s="64">
        <f>INDEX('Allocator Summary'!L$8:L$28,MATCH($F387,'Allocator Summary'!$A$8:$A$28))*$E387</f>
        <v>53883.327567460459</v>
      </c>
      <c r="R387" s="64">
        <f t="shared" si="141"/>
        <v>349454.49999999994</v>
      </c>
      <c r="S387" s="64">
        <f t="shared" si="142"/>
        <v>0</v>
      </c>
    </row>
    <row r="388" spans="1:19" x14ac:dyDescent="0.25">
      <c r="A388" s="88"/>
      <c r="B388" s="89"/>
      <c r="C388" s="15" t="s">
        <v>8081</v>
      </c>
      <c r="E388" s="306">
        <f>+'COSS Step 1'!F80</f>
        <v>2072242.5</v>
      </c>
      <c r="F388" s="36">
        <v>3</v>
      </c>
      <c r="G388" t="str">
        <f>INDEX('Allocator Summary'!$B$8:$B$28,MATCH($F388,'Allocator Summary'!$A$8:$A$28))</f>
        <v>Fixed O&amp;M</v>
      </c>
      <c r="H388" s="64">
        <f>INDEX('Allocator Summary'!C$8:C$28,MATCH($F388,'Allocator Summary'!$A$8:$A$28))*$E388</f>
        <v>44326.858576379986</v>
      </c>
      <c r="I388" s="64">
        <f>INDEX('Allocator Summary'!D$8:D$28,MATCH($F388,'Allocator Summary'!$A$8:$A$28))*$E388</f>
        <v>365770.23154853279</v>
      </c>
      <c r="J388" s="64">
        <f>INDEX('Allocator Summary'!E$8:E$28,MATCH($F388,'Allocator Summary'!$A$8:$A$28))*$E388</f>
        <v>241232.02021047522</v>
      </c>
      <c r="K388" s="64">
        <f>INDEX('Allocator Summary'!F$8:F$28,MATCH($F388,'Allocator Summary'!$A$8:$A$28))*$E388</f>
        <v>124213.79877467433</v>
      </c>
      <c r="L388" s="64">
        <f>INDEX('Allocator Summary'!G$8:G$28,MATCH($F388,'Allocator Summary'!$A$8:$A$28))*$E388</f>
        <v>377287.00501727447</v>
      </c>
      <c r="M388" s="64">
        <f>INDEX('Allocator Summary'!H$8:H$28,MATCH($F388,'Allocator Summary'!$A$8:$A$28))*$E388</f>
        <v>2208.1434619017937</v>
      </c>
      <c r="N388" s="64">
        <f>INDEX('Allocator Summary'!I$8:I$28,MATCH($F388,'Allocator Summary'!$A$8:$A$28))*$E388</f>
        <v>41717.542214785964</v>
      </c>
      <c r="O388" s="64">
        <f>INDEX('Allocator Summary'!J$8:J$26,MATCH($F388,'Allocator Summary'!$A$8:$A$28))*$E388</f>
        <v>8430.0190742298655</v>
      </c>
      <c r="P388" s="64">
        <f>INDEX('Allocator Summary'!K$8:K$26,MATCH($F388,'Allocator Summary'!$A$8:$A$28))*$E388</f>
        <v>547532.24650775886</v>
      </c>
      <c r="Q388" s="64">
        <f>INDEX('Allocator Summary'!L$8:L$28,MATCH($F388,'Allocator Summary'!$A$8:$A$28))*$E388</f>
        <v>319524.63461398607</v>
      </c>
      <c r="R388" s="64">
        <f t="shared" si="141"/>
        <v>2072242.4999999991</v>
      </c>
      <c r="S388" s="64">
        <f t="shared" si="142"/>
        <v>0</v>
      </c>
    </row>
    <row r="389" spans="1:19" x14ac:dyDescent="0.25">
      <c r="A389" s="88"/>
      <c r="B389" s="89"/>
      <c r="C389" s="15" t="s">
        <v>8083</v>
      </c>
      <c r="E389" s="306">
        <f>+'COSS Step 1'!F81</f>
        <v>250616</v>
      </c>
      <c r="F389" s="36">
        <v>3</v>
      </c>
      <c r="G389" t="str">
        <f>INDEX('Allocator Summary'!$B$8:$B$28,MATCH($F389,'Allocator Summary'!$A$8:$A$28))</f>
        <v>Fixed O&amp;M</v>
      </c>
      <c r="H389" s="64">
        <f>INDEX('Allocator Summary'!C$8:C$28,MATCH($F389,'Allocator Summary'!$A$8:$A$28))*$E389</f>
        <v>5360.8687154027803</v>
      </c>
      <c r="I389" s="64">
        <f>INDEX('Allocator Summary'!D$8:D$28,MATCH($F389,'Allocator Summary'!$A$8:$A$28))*$E389</f>
        <v>44236.07389085355</v>
      </c>
      <c r="J389" s="64">
        <f>INDEX('Allocator Summary'!E$8:E$28,MATCH($F389,'Allocator Summary'!$A$8:$A$28))*$E389</f>
        <v>29174.48318769085</v>
      </c>
      <c r="K389" s="64">
        <f>INDEX('Allocator Summary'!F$8:F$28,MATCH($F389,'Allocator Summary'!$A$8:$A$28))*$E389</f>
        <v>15022.356405543165</v>
      </c>
      <c r="L389" s="64">
        <f>INDEX('Allocator Summary'!G$8:G$28,MATCH($F389,'Allocator Summary'!$A$8:$A$28))*$E389</f>
        <v>45628.906872342042</v>
      </c>
      <c r="M389" s="64">
        <f>INDEX('Allocator Summary'!H$8:H$28,MATCH($F389,'Allocator Summary'!$A$8:$A$28))*$E389</f>
        <v>267.0517962294374</v>
      </c>
      <c r="N389" s="64">
        <f>INDEX('Allocator Summary'!I$8:I$28,MATCH($F389,'Allocator Summary'!$A$8:$A$28))*$E389</f>
        <v>5045.2992638172418</v>
      </c>
      <c r="O389" s="64">
        <f>INDEX('Allocator Summary'!J$8:J$26,MATCH($F389,'Allocator Summary'!$A$8:$A$28))*$E389</f>
        <v>1019.5224064303246</v>
      </c>
      <c r="P389" s="64">
        <f>INDEX('Allocator Summary'!K$8:K$26,MATCH($F389,'Allocator Summary'!$A$8:$A$28))*$E389</f>
        <v>66218.28356999169</v>
      </c>
      <c r="Q389" s="64">
        <f>INDEX('Allocator Summary'!L$8:L$28,MATCH($F389,'Allocator Summary'!$A$8:$A$28))*$E389</f>
        <v>38643.153891698836</v>
      </c>
      <c r="R389" s="64">
        <f t="shared" si="141"/>
        <v>250615.99999999991</v>
      </c>
      <c r="S389" s="64">
        <f t="shared" si="142"/>
        <v>0</v>
      </c>
    </row>
    <row r="390" spans="1:19" x14ac:dyDescent="0.25">
      <c r="A390" s="88"/>
      <c r="B390" s="89"/>
      <c r="C390" s="15" t="s">
        <v>8085</v>
      </c>
      <c r="E390" s="306">
        <f>+'COSS Step 1'!F82</f>
        <v>-4601</v>
      </c>
      <c r="F390" s="36">
        <v>3</v>
      </c>
      <c r="G390" t="str">
        <f>INDEX('Allocator Summary'!$B$8:$B$28,MATCH($F390,'Allocator Summary'!$A$8:$A$28))</f>
        <v>Fixed O&amp;M</v>
      </c>
      <c r="H390" s="64">
        <f>INDEX('Allocator Summary'!C$8:C$28,MATCH($F390,'Allocator Summary'!$A$8:$A$28))*$E390</f>
        <v>-98.418923610496506</v>
      </c>
      <c r="I390" s="64">
        <f>INDEX('Allocator Summary'!D$8:D$28,MATCH($F390,'Allocator Summary'!$A$8:$A$28))*$E390</f>
        <v>-812.11964109161897</v>
      </c>
      <c r="J390" s="64">
        <f>INDEX('Allocator Summary'!E$8:E$28,MATCH($F390,'Allocator Summary'!$A$8:$A$28))*$E390</f>
        <v>-535.60745182496566</v>
      </c>
      <c r="K390" s="64">
        <f>INDEX('Allocator Summary'!F$8:F$28,MATCH($F390,'Allocator Summary'!$A$8:$A$28))*$E390</f>
        <v>-275.79189605573509</v>
      </c>
      <c r="L390" s="64">
        <f>INDEX('Allocator Summary'!G$8:G$28,MATCH($F390,'Allocator Summary'!$A$8:$A$28))*$E390</f>
        <v>-837.69033309782992</v>
      </c>
      <c r="M390" s="64">
        <f>INDEX('Allocator Summary'!H$8:H$28,MATCH($F390,'Allocator Summary'!$A$8:$A$28))*$E390</f>
        <v>-4.9027409042185717</v>
      </c>
      <c r="N390" s="64">
        <f>INDEX('Allocator Summary'!I$8:I$28,MATCH($F390,'Allocator Summary'!$A$8:$A$28))*$E390</f>
        <v>-92.625458521495545</v>
      </c>
      <c r="O390" s="64">
        <f>INDEX('Allocator Summary'!J$8:J$26,MATCH($F390,'Allocator Summary'!$A$8:$A$28))*$E390</f>
        <v>-18.717171257964072</v>
      </c>
      <c r="P390" s="64">
        <f>INDEX('Allocator Summary'!K$8:K$26,MATCH($F390,'Allocator Summary'!$A$8:$A$28))*$E390</f>
        <v>-1215.6858409101244</v>
      </c>
      <c r="Q390" s="64">
        <f>INDEX('Allocator Summary'!L$8:L$28,MATCH($F390,'Allocator Summary'!$A$8:$A$28))*$E390</f>
        <v>-709.44054272554968</v>
      </c>
      <c r="R390" s="64">
        <f t="shared" si="141"/>
        <v>-4600.9999999999982</v>
      </c>
      <c r="S390" s="64">
        <f t="shared" si="142"/>
        <v>0</v>
      </c>
    </row>
    <row r="391" spans="1:19" x14ac:dyDescent="0.25">
      <c r="A391" s="88"/>
      <c r="B391" s="89"/>
      <c r="C391" s="15" t="s">
        <v>8087</v>
      </c>
      <c r="E391" s="306">
        <f>+'COSS Step 1'!F83</f>
        <v>-15215.5</v>
      </c>
      <c r="F391" s="36">
        <v>3</v>
      </c>
      <c r="G391" t="str">
        <f>INDEX('Allocator Summary'!$B$8:$B$28,MATCH($F391,'Allocator Summary'!$A$8:$A$28))</f>
        <v>Fixed O&amp;M</v>
      </c>
      <c r="H391" s="64">
        <f>INDEX('Allocator Summary'!C$8:C$28,MATCH($F391,'Allocator Summary'!$A$8:$A$28))*$E391</f>
        <v>-325.47123064453586</v>
      </c>
      <c r="I391" s="64">
        <f>INDEX('Allocator Summary'!D$8:D$28,MATCH($F391,'Allocator Summary'!$A$8:$A$28))*$E391</f>
        <v>-2685.6784175243488</v>
      </c>
      <c r="J391" s="64">
        <f>INDEX('Allocator Summary'!E$8:E$28,MATCH($F391,'Allocator Summary'!$A$8:$A$28))*$E391</f>
        <v>-1771.2530283074909</v>
      </c>
      <c r="K391" s="64">
        <f>INDEX('Allocator Summary'!F$8:F$28,MATCH($F391,'Allocator Summary'!$A$8:$A$28))*$E391</f>
        <v>-912.04338066421144</v>
      </c>
      <c r="L391" s="64">
        <f>INDEX('Allocator Summary'!G$8:G$28,MATCH($F391,'Allocator Summary'!$A$8:$A$28))*$E391</f>
        <v>-2770.2406570854228</v>
      </c>
      <c r="M391" s="64">
        <f>INDEX('Allocator Summary'!H$8:H$28,MATCH($F391,'Allocator Summary'!$A$8:$A$28))*$E391</f>
        <v>-16.213356711179674</v>
      </c>
      <c r="N391" s="64">
        <f>INDEX('Allocator Summary'!I$8:I$28,MATCH($F391,'Allocator Summary'!$A$8:$A$28))*$E391</f>
        <v>-306.3122504094361</v>
      </c>
      <c r="O391" s="64">
        <f>INDEX('Allocator Summary'!J$8:J$26,MATCH($F391,'Allocator Summary'!$A$8:$A$28))*$E391</f>
        <v>-61.897656873625799</v>
      </c>
      <c r="P391" s="64">
        <f>INDEX('Allocator Summary'!K$8:K$26,MATCH($F391,'Allocator Summary'!$A$8:$A$28))*$E391</f>
        <v>-4020.2712263351441</v>
      </c>
      <c r="Q391" s="64">
        <f>INDEX('Allocator Summary'!L$8:L$28,MATCH($F391,'Allocator Summary'!$A$8:$A$28))*$E391</f>
        <v>-2346.1187954445991</v>
      </c>
      <c r="R391" s="64">
        <f t="shared" si="141"/>
        <v>-15215.499999999993</v>
      </c>
      <c r="S391" s="64">
        <f t="shared" si="142"/>
        <v>0</v>
      </c>
    </row>
    <row r="392" spans="1:19" x14ac:dyDescent="0.25">
      <c r="A392" s="88"/>
      <c r="B392" s="89"/>
      <c r="C392" s="15" t="s">
        <v>8089</v>
      </c>
      <c r="E392" s="306">
        <f>+'COSS Step 1'!F84</f>
        <v>19089.5</v>
      </c>
      <c r="F392" s="36">
        <v>3</v>
      </c>
      <c r="G392" t="str">
        <f>INDEX('Allocator Summary'!$B$8:$B$28,MATCH($F392,'Allocator Summary'!$A$8:$A$28))</f>
        <v>Fixed O&amp;M</v>
      </c>
      <c r="H392" s="64">
        <f>INDEX('Allocator Summary'!C$8:C$28,MATCH($F392,'Allocator Summary'!$A$8:$A$28))*$E392</f>
        <v>408.33906591231755</v>
      </c>
      <c r="I392" s="64">
        <f>INDEX('Allocator Summary'!D$8:D$28,MATCH($F392,'Allocator Summary'!$A$8:$A$28))*$E392</f>
        <v>3369.4757419296807</v>
      </c>
      <c r="J392" s="64">
        <f>INDEX('Allocator Summary'!E$8:E$28,MATCH($F392,'Allocator Summary'!$A$8:$A$28))*$E392</f>
        <v>2222.2296134780881</v>
      </c>
      <c r="K392" s="64">
        <f>INDEX('Allocator Summary'!F$8:F$28,MATCH($F392,'Allocator Summary'!$A$8:$A$28))*$E392</f>
        <v>1144.2576395905139</v>
      </c>
      <c r="L392" s="64">
        <f>INDEX('Allocator Summary'!G$8:G$28,MATCH($F392,'Allocator Summary'!$A$8:$A$28))*$E392</f>
        <v>3475.5682707391925</v>
      </c>
      <c r="M392" s="64">
        <f>INDEX('Allocator Summary'!H$8:H$28,MATCH($F392,'Allocator Summary'!$A$8:$A$28))*$E392</f>
        <v>20.341419798104852</v>
      </c>
      <c r="N392" s="64">
        <f>INDEX('Allocator Summary'!I$8:I$28,MATCH($F392,'Allocator Summary'!$A$8:$A$28))*$E392</f>
        <v>384.3020409576373</v>
      </c>
      <c r="O392" s="64">
        <f>INDEX('Allocator Summary'!J$8:J$26,MATCH($F392,'Allocator Summary'!$A$8:$A$28))*$E392</f>
        <v>77.657344214063272</v>
      </c>
      <c r="P392" s="64">
        <f>INDEX('Allocator Summary'!K$8:K$26,MATCH($F392,'Allocator Summary'!$A$8:$A$28))*$E392</f>
        <v>5043.8676070536449</v>
      </c>
      <c r="Q392" s="64">
        <f>INDEX('Allocator Summary'!L$8:L$28,MATCH($F392,'Allocator Summary'!$A$8:$A$28))*$E392</f>
        <v>2943.4612563267506</v>
      </c>
      <c r="R392" s="64">
        <f t="shared" ref="R392" si="143">SUM(H392:Q392)</f>
        <v>19089.499999999993</v>
      </c>
      <c r="S392" s="64">
        <f t="shared" si="142"/>
        <v>0</v>
      </c>
    </row>
    <row r="393" spans="1:19" x14ac:dyDescent="0.25">
      <c r="A393" s="88"/>
      <c r="B393" s="89"/>
      <c r="C393" s="15" t="s">
        <v>8091</v>
      </c>
      <c r="E393" s="306">
        <f>+'COSS Step 1'!F85</f>
        <v>678922</v>
      </c>
      <c r="F393" s="36">
        <v>3</v>
      </c>
      <c r="G393" t="str">
        <f>INDEX('Allocator Summary'!$B$8:$B$28,MATCH($F393,'Allocator Summary'!$A$8:$A$28))</f>
        <v>Fixed O&amp;M</v>
      </c>
      <c r="H393" s="64">
        <f>INDEX('Allocator Summary'!C$8:C$28,MATCH($F393,'Allocator Summary'!$A$8:$A$28))*$E393</f>
        <v>14522.66299836677</v>
      </c>
      <c r="I393" s="64">
        <f>INDEX('Allocator Summary'!D$8:D$28,MATCH($F393,'Allocator Summary'!$A$8:$A$28))*$E393</f>
        <v>119836.09888485202</v>
      </c>
      <c r="J393" s="64">
        <f>INDEX('Allocator Summary'!E$8:E$28,MATCH($F393,'Allocator Summary'!$A$8:$A$28))*$E393</f>
        <v>79034.05398998248</v>
      </c>
      <c r="K393" s="64">
        <f>INDEX('Allocator Summary'!F$8:F$28,MATCH($F393,'Allocator Summary'!$A$8:$A$28))*$E393</f>
        <v>40695.75867288671</v>
      </c>
      <c r="L393" s="64">
        <f>INDEX('Allocator Summary'!G$8:G$28,MATCH($F393,'Allocator Summary'!$A$8:$A$28))*$E393</f>
        <v>123609.30152737338</v>
      </c>
      <c r="M393" s="64">
        <f>INDEX('Allocator Summary'!H$8:H$28,MATCH($F393,'Allocator Summary'!$A$8:$A$28))*$E393</f>
        <v>723.44678551920913</v>
      </c>
      <c r="N393" s="64">
        <f>INDEX('Allocator Summary'!I$8:I$28,MATCH($F393,'Allocator Summary'!$A$8:$A$28))*$E393</f>
        <v>13667.781254147098</v>
      </c>
      <c r="O393" s="64">
        <f>INDEX('Allocator Summary'!J$8:J$26,MATCH($F393,'Allocator Summary'!$A$8:$A$28))*$E393</f>
        <v>2761.8994446423567</v>
      </c>
      <c r="P393" s="64">
        <f>INDEX('Allocator Summary'!K$8:K$26,MATCH($F393,'Allocator Summary'!$A$8:$A$28))*$E393</f>
        <v>179386.19049823593</v>
      </c>
      <c r="Q393" s="64">
        <f>INDEX('Allocator Summary'!L$8:L$28,MATCH($F393,'Allocator Summary'!$A$8:$A$28))*$E393</f>
        <v>104684.80594399382</v>
      </c>
      <c r="R393" s="64">
        <f t="shared" ref="R393" si="144">SUM(H393:Q393)</f>
        <v>678921.99999999977</v>
      </c>
      <c r="S393" s="64">
        <f t="shared" si="142"/>
        <v>0</v>
      </c>
    </row>
    <row r="394" spans="1:19" x14ac:dyDescent="0.25">
      <c r="A394" s="88"/>
      <c r="B394" s="89"/>
      <c r="C394" s="15" t="s">
        <v>8093</v>
      </c>
      <c r="E394" s="306">
        <f>+'COSS Step 1'!F86</f>
        <v>99597</v>
      </c>
      <c r="F394" s="36" t="s">
        <v>2209</v>
      </c>
      <c r="G394" t="str">
        <f>INDEX('Allocator Summary'!$B$8:$B$28,MATCH($F394,'Allocator Summary'!$A$8:$A$28))</f>
        <v>Water Treatment</v>
      </c>
      <c r="H394" s="64">
        <f>INDEX('Allocator Summary'!C$8:C$28,MATCH($F394,'Allocator Summary'!$A$8:$A$28))*$E394</f>
        <v>0</v>
      </c>
      <c r="I394" s="64">
        <f>INDEX('Allocator Summary'!D$8:D$28,MATCH($F394,'Allocator Summary'!$A$8:$A$28))*$E394</f>
        <v>0</v>
      </c>
      <c r="J394" s="64">
        <f>INDEX('Allocator Summary'!E$8:E$28,MATCH($F394,'Allocator Summary'!$A$8:$A$28))*$E394</f>
        <v>99597</v>
      </c>
      <c r="K394" s="64">
        <f>INDEX('Allocator Summary'!F$8:F$28,MATCH($F394,'Allocator Summary'!$A$8:$A$28))*$E394</f>
        <v>0</v>
      </c>
      <c r="L394" s="64">
        <f>INDEX('Allocator Summary'!G$8:G$28,MATCH($F394,'Allocator Summary'!$A$8:$A$28))*$E394</f>
        <v>0</v>
      </c>
      <c r="M394" s="64">
        <f>INDEX('Allocator Summary'!H$8:H$28,MATCH($F394,'Allocator Summary'!$A$8:$A$28))*$E394</f>
        <v>0</v>
      </c>
      <c r="N394" s="64">
        <f>INDEX('Allocator Summary'!I$8:I$28,MATCH($F394,'Allocator Summary'!$A$8:$A$28))*$E394</f>
        <v>0</v>
      </c>
      <c r="O394" s="64">
        <f>INDEX('Allocator Summary'!J$8:J$26,MATCH($F394,'Allocator Summary'!$A$8:$A$28))*$E394</f>
        <v>0</v>
      </c>
      <c r="P394" s="64">
        <f>INDEX('Allocator Summary'!K$8:K$26,MATCH($F394,'Allocator Summary'!$A$8:$A$28))*$E394</f>
        <v>0</v>
      </c>
      <c r="Q394" s="64">
        <f>INDEX('Allocator Summary'!L$8:L$28,MATCH($F394,'Allocator Summary'!$A$8:$A$28))*$E394</f>
        <v>0</v>
      </c>
      <c r="R394" s="64">
        <f t="shared" si="141"/>
        <v>99597</v>
      </c>
      <c r="S394" s="64">
        <f t="shared" si="142"/>
        <v>0</v>
      </c>
    </row>
    <row r="395" spans="1:19" x14ac:dyDescent="0.25">
      <c r="A395" s="88"/>
      <c r="B395" s="89"/>
      <c r="C395" s="15" t="s">
        <v>8095</v>
      </c>
      <c r="E395" s="306">
        <f>+'COSS Step 1'!F87</f>
        <v>74187.5</v>
      </c>
      <c r="F395" s="36">
        <v>3</v>
      </c>
      <c r="G395" t="str">
        <f>INDEX('Allocator Summary'!$B$8:$B$28,MATCH($F395,'Allocator Summary'!$A$8:$A$28))</f>
        <v>Fixed O&amp;M</v>
      </c>
      <c r="H395" s="64">
        <f>INDEX('Allocator Summary'!C$8:C$28,MATCH($F395,'Allocator Summary'!$A$8:$A$28))*$E395</f>
        <v>1586.9276016852227</v>
      </c>
      <c r="I395" s="64">
        <f>INDEX('Allocator Summary'!D$8:D$28,MATCH($F395,'Allocator Summary'!$A$8:$A$28))*$E395</f>
        <v>13094.789366112689</v>
      </c>
      <c r="J395" s="64">
        <f>INDEX('Allocator Summary'!E$8:E$28,MATCH($F395,'Allocator Summary'!$A$8:$A$28))*$E395</f>
        <v>8636.2481704552574</v>
      </c>
      <c r="K395" s="64">
        <f>INDEX('Allocator Summary'!F$8:F$28,MATCH($F395,'Allocator Summary'!$A$8:$A$28))*$E395</f>
        <v>4446.927035130373</v>
      </c>
      <c r="L395" s="64">
        <f>INDEX('Allocator Summary'!G$8:G$28,MATCH($F395,'Allocator Summary'!$A$8:$A$28))*$E395</f>
        <v>13507.096628275431</v>
      </c>
      <c r="M395" s="64">
        <f>INDEX('Allocator Summary'!H$8:H$28,MATCH($F395,'Allocator Summary'!$A$8:$A$28))*$E395</f>
        <v>79.052834347253921</v>
      </c>
      <c r="N395" s="64">
        <f>INDEX('Allocator Summary'!I$8:I$28,MATCH($F395,'Allocator Summary'!$A$8:$A$28))*$E395</f>
        <v>1493.5125416351773</v>
      </c>
      <c r="O395" s="64">
        <f>INDEX('Allocator Summary'!J$8:J$26,MATCH($F395,'Allocator Summary'!$A$8:$A$28))*$E395</f>
        <v>301.79963979574211</v>
      </c>
      <c r="P395" s="64">
        <f>INDEX('Allocator Summary'!K$8:K$26,MATCH($F395,'Allocator Summary'!$A$8:$A$28))*$E395</f>
        <v>19601.976379595708</v>
      </c>
      <c r="Q395" s="64">
        <f>INDEX('Allocator Summary'!L$8:L$28,MATCH($F395,'Allocator Summary'!$A$8:$A$28))*$E395</f>
        <v>11439.169802967119</v>
      </c>
      <c r="R395" s="64">
        <f t="shared" si="141"/>
        <v>74187.499999999971</v>
      </c>
      <c r="S395" s="64">
        <f t="shared" si="142"/>
        <v>0</v>
      </c>
    </row>
    <row r="396" spans="1:19" x14ac:dyDescent="0.25">
      <c r="A396" s="88"/>
      <c r="B396" s="89"/>
      <c r="C396" s="15" t="s">
        <v>8097</v>
      </c>
      <c r="E396" s="306">
        <f>+'COSS Step 1'!F88</f>
        <v>105790.5</v>
      </c>
      <c r="F396" s="36">
        <v>3</v>
      </c>
      <c r="G396" t="str">
        <f>INDEX('Allocator Summary'!$B$8:$B$28,MATCH($F396,'Allocator Summary'!$A$8:$A$28))</f>
        <v>Fixed O&amp;M</v>
      </c>
      <c r="H396" s="64">
        <f>INDEX('Allocator Summary'!C$8:C$28,MATCH($F396,'Allocator Summary'!$A$8:$A$28))*$E396</f>
        <v>2262.9400430811193</v>
      </c>
      <c r="I396" s="64">
        <f>INDEX('Allocator Summary'!D$8:D$28,MATCH($F396,'Allocator Summary'!$A$8:$A$28))*$E396</f>
        <v>18673.015190372291</v>
      </c>
      <c r="J396" s="64">
        <f>INDEX('Allocator Summary'!E$8:E$28,MATCH($F396,'Allocator Summary'!$A$8:$A$28))*$E396</f>
        <v>12315.188031360363</v>
      </c>
      <c r="K396" s="64">
        <f>INDEX('Allocator Summary'!F$8:F$28,MATCH($F396,'Allocator Summary'!$A$8:$A$28))*$E396</f>
        <v>6341.2655030828601</v>
      </c>
      <c r="L396" s="64">
        <f>INDEX('Allocator Summary'!G$8:G$28,MATCH($F396,'Allocator Summary'!$A$8:$A$28))*$E396</f>
        <v>19260.960483283194</v>
      </c>
      <c r="M396" s="64">
        <f>INDEX('Allocator Summary'!H$8:H$28,MATCH($F396,'Allocator Summary'!$A$8:$A$28))*$E396</f>
        <v>112.72840939529119</v>
      </c>
      <c r="N396" s="64">
        <f>INDEX('Allocator Summary'!I$8:I$28,MATCH($F396,'Allocator Summary'!$A$8:$A$28))*$E396</f>
        <v>2129.7312692280534</v>
      </c>
      <c r="O396" s="64">
        <f>INDEX('Allocator Summary'!J$8:J$26,MATCH($F396,'Allocator Summary'!$A$8:$A$28))*$E396</f>
        <v>430.36272679105588</v>
      </c>
      <c r="P396" s="64">
        <f>INDEX('Allocator Summary'!K$8:K$26,MATCH($F396,'Allocator Summary'!$A$8:$A$28))*$E396</f>
        <v>27952.187122973814</v>
      </c>
      <c r="Q396" s="64">
        <f>INDEX('Allocator Summary'!L$8:L$28,MATCH($F396,'Allocator Summary'!$A$8:$A$28))*$E396</f>
        <v>16312.121220431918</v>
      </c>
      <c r="R396" s="64">
        <f t="shared" si="141"/>
        <v>105790.49999999996</v>
      </c>
      <c r="S396" s="64">
        <f t="shared" si="142"/>
        <v>0</v>
      </c>
    </row>
    <row r="397" spans="1:19" x14ac:dyDescent="0.25">
      <c r="A397" s="88"/>
      <c r="B397" s="89"/>
      <c r="C397" s="15" t="s">
        <v>8099</v>
      </c>
      <c r="E397" s="306">
        <f>+'COSS Step 1'!F89</f>
        <v>1036159</v>
      </c>
      <c r="F397" s="36">
        <v>3</v>
      </c>
      <c r="G397" t="str">
        <f>INDEX('Allocator Summary'!$B$8:$B$28,MATCH($F397,'Allocator Summary'!$A$8:$A$28))</f>
        <v>Fixed O&amp;M</v>
      </c>
      <c r="H397" s="64">
        <f>INDEX('Allocator Summary'!C$8:C$28,MATCH($F397,'Allocator Summary'!$A$8:$A$28))*$E397</f>
        <v>22164.236789682342</v>
      </c>
      <c r="I397" s="64">
        <f>INDEX('Allocator Summary'!D$8:D$28,MATCH($F397,'Allocator Summary'!$A$8:$A$28))*$E397</f>
        <v>182891.77900322774</v>
      </c>
      <c r="J397" s="64">
        <f>INDEX('Allocator Summary'!E$8:E$28,MATCH($F397,'Allocator Summary'!$A$8:$A$28))*$E397</f>
        <v>120620.40462410446</v>
      </c>
      <c r="K397" s="64">
        <f>INDEX('Allocator Summary'!F$8:F$28,MATCH($F397,'Allocator Summary'!$A$8:$A$28))*$E397</f>
        <v>62109.162187614515</v>
      </c>
      <c r="L397" s="64">
        <f>INDEX('Allocator Summary'!G$8:G$28,MATCH($F397,'Allocator Summary'!$A$8:$A$28))*$E397</f>
        <v>188650.37553842954</v>
      </c>
      <c r="M397" s="64">
        <f>INDEX('Allocator Summary'!H$8:H$28,MATCH($F397,'Allocator Summary'!$A$8:$A$28))*$E397</f>
        <v>1104.1119566559901</v>
      </c>
      <c r="N397" s="64">
        <f>INDEX('Allocator Summary'!I$8:I$28,MATCH($F397,'Allocator Summary'!$A$8:$A$28))*$E397</f>
        <v>20859.531075021583</v>
      </c>
      <c r="O397" s="64">
        <f>INDEX('Allocator Summary'!J$8:J$26,MATCH($F397,'Allocator Summary'!$A$8:$A$28))*$E397</f>
        <v>4215.163106603085</v>
      </c>
      <c r="P397" s="64">
        <f>INDEX('Allocator Summary'!K$8:K$26,MATCH($F397,'Allocator Summary'!$A$8:$A$28))*$E397</f>
        <v>273776.09763781651</v>
      </c>
      <c r="Q397" s="64">
        <f>INDEX('Allocator Summary'!L$8:L$28,MATCH($F397,'Allocator Summary'!$A$8:$A$28))*$E397</f>
        <v>159768.1380808439</v>
      </c>
      <c r="R397" s="64">
        <f t="shared" si="141"/>
        <v>1036158.9999999998</v>
      </c>
      <c r="S397" s="64">
        <f t="shared" si="142"/>
        <v>0</v>
      </c>
    </row>
    <row r="398" spans="1:19" x14ac:dyDescent="0.25">
      <c r="A398" s="88"/>
      <c r="B398" s="89"/>
      <c r="C398" s="15" t="s">
        <v>8101</v>
      </c>
      <c r="E398" s="306">
        <f>+'COSS Step 1'!F90</f>
        <v>9406</v>
      </c>
      <c r="F398" s="36">
        <v>3</v>
      </c>
      <c r="G398" t="str">
        <f>INDEX('Allocator Summary'!$B$8:$B$28,MATCH($F398,'Allocator Summary'!$A$8:$A$28))</f>
        <v>Fixed O&amp;M</v>
      </c>
      <c r="H398" s="64">
        <f>INDEX('Allocator Summary'!C$8:C$28,MATCH($F398,'Allocator Summary'!$A$8:$A$28))*$E398</f>
        <v>201.20156389487724</v>
      </c>
      <c r="I398" s="64">
        <f>INDEX('Allocator Summary'!D$8:D$28,MATCH($F398,'Allocator Summary'!$A$8:$A$28))*$E398</f>
        <v>1660.2471949810406</v>
      </c>
      <c r="J398" s="64">
        <f>INDEX('Allocator Summary'!E$8:E$28,MATCH($F398,'Allocator Summary'!$A$8:$A$28))*$E398</f>
        <v>1094.9627671953112</v>
      </c>
      <c r="K398" s="64">
        <f>INDEX('Allocator Summary'!F$8:F$28,MATCH($F398,'Allocator Summary'!$A$8:$A$28))*$E398</f>
        <v>563.81190486855985</v>
      </c>
      <c r="L398" s="64">
        <f>INDEX('Allocator Summary'!G$8:G$28,MATCH($F398,'Allocator Summary'!$A$8:$A$28))*$E398</f>
        <v>1712.5223371263178</v>
      </c>
      <c r="M398" s="64">
        <f>INDEX('Allocator Summary'!H$8:H$28,MATCH($F398,'Allocator Summary'!$A$8:$A$28))*$E398</f>
        <v>10.022860453179717</v>
      </c>
      <c r="N398" s="64">
        <f>INDEX('Allocator Summary'!I$8:I$28,MATCH($F398,'Allocator Summary'!$A$8:$A$28))*$E398</f>
        <v>189.35776197635016</v>
      </c>
      <c r="O398" s="64">
        <f>INDEX('Allocator Summary'!J$8:J$26,MATCH($F398,'Allocator Summary'!$A$8:$A$28))*$E398</f>
        <v>38.264227961836568</v>
      </c>
      <c r="P398" s="64">
        <f>INDEX('Allocator Summary'!K$8:K$26,MATCH($F398,'Allocator Summary'!$A$8:$A$28))*$E398</f>
        <v>2485.2729883939646</v>
      </c>
      <c r="Q398" s="64">
        <f>INDEX('Allocator Summary'!L$8:L$28,MATCH($F398,'Allocator Summary'!$A$8:$A$28))*$E398</f>
        <v>1450.336393148559</v>
      </c>
      <c r="R398" s="64">
        <f t="shared" si="141"/>
        <v>9405.9999999999964</v>
      </c>
      <c r="S398" s="64">
        <f t="shared" si="142"/>
        <v>0</v>
      </c>
    </row>
    <row r="399" spans="1:19" x14ac:dyDescent="0.25">
      <c r="A399" s="88"/>
      <c r="B399" s="89"/>
      <c r="C399" s="15" t="s">
        <v>8103</v>
      </c>
      <c r="E399" s="306">
        <f>+'COSS Step 1'!F91</f>
        <v>1093309.5</v>
      </c>
      <c r="F399" s="36">
        <v>3</v>
      </c>
      <c r="G399" t="str">
        <f>INDEX('Allocator Summary'!$B$8:$B$28,MATCH($F399,'Allocator Summary'!$A$8:$A$28))</f>
        <v>Fixed O&amp;M</v>
      </c>
      <c r="H399" s="64">
        <f>INDEX('Allocator Summary'!C$8:C$28,MATCH($F399,'Allocator Summary'!$A$8:$A$28))*$E399</f>
        <v>23386.729876794205</v>
      </c>
      <c r="I399" s="64">
        <f>INDEX('Allocator Summary'!D$8:D$28,MATCH($F399,'Allocator Summary'!$A$8:$A$28))*$E399</f>
        <v>192979.37812259453</v>
      </c>
      <c r="J399" s="64">
        <f>INDEX('Allocator Summary'!E$8:E$28,MATCH($F399,'Allocator Summary'!$A$8:$A$28))*$E399</f>
        <v>127273.35695523306</v>
      </c>
      <c r="K399" s="64">
        <f>INDEX('Allocator Summary'!F$8:F$28,MATCH($F399,'Allocator Summary'!$A$8:$A$28))*$E399</f>
        <v>65534.861982340291</v>
      </c>
      <c r="L399" s="64">
        <f>INDEX('Allocator Summary'!G$8:G$28,MATCH($F399,'Allocator Summary'!$A$8:$A$28))*$E399</f>
        <v>199055.59644295194</v>
      </c>
      <c r="M399" s="64">
        <f>INDEX('Allocator Summary'!H$8:H$28,MATCH($F399,'Allocator Summary'!$A$8:$A$28))*$E399</f>
        <v>1165.0104774224635</v>
      </c>
      <c r="N399" s="64">
        <f>INDEX('Allocator Summary'!I$8:I$28,MATCH($F399,'Allocator Summary'!$A$8:$A$28))*$E399</f>
        <v>22010.061669942846</v>
      </c>
      <c r="O399" s="64">
        <f>INDEX('Allocator Summary'!J$8:J$26,MATCH($F399,'Allocator Summary'!$A$8:$A$28))*$E399</f>
        <v>4447.6551074677391</v>
      </c>
      <c r="P399" s="64">
        <f>INDEX('Allocator Summary'!K$8:K$26,MATCH($F399,'Allocator Summary'!$A$8:$A$28))*$E399</f>
        <v>288876.52225223382</v>
      </c>
      <c r="Q399" s="64">
        <f>INDEX('Allocator Summary'!L$8:L$28,MATCH($F399,'Allocator Summary'!$A$8:$A$28))*$E399</f>
        <v>168580.32711301875</v>
      </c>
      <c r="R399" s="64">
        <f t="shared" si="141"/>
        <v>1093309.4999999998</v>
      </c>
      <c r="S399" s="64">
        <f t="shared" si="142"/>
        <v>0</v>
      </c>
    </row>
    <row r="400" spans="1:19" x14ac:dyDescent="0.25">
      <c r="A400" s="93"/>
      <c r="B400" s="94"/>
      <c r="C400" s="114" t="s">
        <v>8105</v>
      </c>
      <c r="D400" s="66"/>
      <c r="E400" s="306">
        <f>+'COSS Step 1'!F92</f>
        <v>141678</v>
      </c>
      <c r="F400" s="75">
        <v>3</v>
      </c>
      <c r="G400" s="66" t="str">
        <f>INDEX('Allocator Summary'!$B$8:$B$28,MATCH($F400,'Allocator Summary'!$A$8:$A$28))</f>
        <v>Fixed O&amp;M</v>
      </c>
      <c r="H400" s="76">
        <f>INDEX('Allocator Summary'!C$8:C$28,MATCH($F400,'Allocator Summary'!$A$8:$A$28))*$E400</f>
        <v>3030.6012300125894</v>
      </c>
      <c r="I400" s="76">
        <f>INDEX('Allocator Summary'!D$8:D$28,MATCH($F400,'Allocator Summary'!$A$8:$A$28))*$E400</f>
        <v>25007.495438073984</v>
      </c>
      <c r="J400" s="76">
        <f>INDEX('Allocator Summary'!E$8:E$28,MATCH($F400,'Allocator Summary'!$A$8:$A$28))*$E400</f>
        <v>16492.891232266353</v>
      </c>
      <c r="K400" s="76">
        <f>INDEX('Allocator Summary'!F$8:F$28,MATCH($F400,'Allocator Summary'!$A$8:$A$28))*$E400</f>
        <v>8492.4243097988328</v>
      </c>
      <c r="L400" s="76">
        <f>INDEX('Allocator Summary'!G$8:G$28,MATCH($F400,'Allocator Summary'!$A$8:$A$28))*$E400</f>
        <v>25794.890461341958</v>
      </c>
      <c r="M400" s="76">
        <f>INDEX('Allocator Summary'!H$8:H$28,MATCH($F400,'Allocator Summary'!$A$8:$A$28))*$E400</f>
        <v>150.96946877371849</v>
      </c>
      <c r="N400" s="76">
        <f>INDEX('Allocator Summary'!I$8:I$28,MATCH($F400,'Allocator Summary'!$A$8:$A$28))*$E400</f>
        <v>2852.2038062178758</v>
      </c>
      <c r="O400" s="76">
        <f>INDEX('Allocator Summary'!J$8:J$26,MATCH($F400,'Allocator Summary'!$A$8:$A$28))*$E400</f>
        <v>576.35544218340226</v>
      </c>
      <c r="P400" s="76">
        <f>INDEX('Allocator Summary'!K$8:K$26,MATCH($F400,'Allocator Summary'!$A$8:$A$28))*$E400</f>
        <v>37434.457415445468</v>
      </c>
      <c r="Q400" s="76">
        <f>INDEX('Allocator Summary'!L$8:L$28,MATCH($F400,'Allocator Summary'!$A$8:$A$28))*$E400</f>
        <v>21845.711195885768</v>
      </c>
      <c r="R400" s="76">
        <f t="shared" si="141"/>
        <v>141677.99999999994</v>
      </c>
      <c r="S400" s="76">
        <f t="shared" si="142"/>
        <v>0</v>
      </c>
    </row>
    <row r="401" spans="1:19" x14ac:dyDescent="0.25">
      <c r="A401" s="4" t="s">
        <v>7159</v>
      </c>
      <c r="B401" s="95"/>
      <c r="C401" s="95"/>
      <c r="D401" s="74"/>
      <c r="E401" s="316">
        <f>SUM(E317:E400)</f>
        <v>197753759</v>
      </c>
      <c r="H401" s="96">
        <f t="shared" ref="H401:S401" si="145">SUM(H317:H400)</f>
        <v>4320073.5673961574</v>
      </c>
      <c r="I401" s="96">
        <f t="shared" si="145"/>
        <v>11770257.598342381</v>
      </c>
      <c r="J401" s="96">
        <f t="shared" si="145"/>
        <v>28808168.482287675</v>
      </c>
      <c r="K401" s="96">
        <f t="shared" si="145"/>
        <v>40497162.482165426</v>
      </c>
      <c r="L401" s="96">
        <f t="shared" si="145"/>
        <v>73490443.256972075</v>
      </c>
      <c r="M401" s="96">
        <f t="shared" si="145"/>
        <v>6748880.1643570792</v>
      </c>
      <c r="N401" s="96">
        <f t="shared" si="145"/>
        <v>10930752.689396013</v>
      </c>
      <c r="O401" s="96">
        <f t="shared" si="145"/>
        <v>4262023.9428486992</v>
      </c>
      <c r="P401" s="96">
        <f t="shared" si="145"/>
        <v>3516155.8245539283</v>
      </c>
      <c r="Q401" s="96">
        <f t="shared" si="145"/>
        <v>13409840.991680572</v>
      </c>
      <c r="R401" s="96">
        <f t="shared" si="145"/>
        <v>197753759</v>
      </c>
      <c r="S401" s="96">
        <f t="shared" si="145"/>
        <v>0</v>
      </c>
    </row>
    <row r="402" spans="1:19" x14ac:dyDescent="0.25">
      <c r="A402" s="4"/>
      <c r="B402" s="95"/>
      <c r="C402" s="95"/>
      <c r="D402" s="74"/>
      <c r="E402" s="316"/>
    </row>
    <row r="403" spans="1:19" x14ac:dyDescent="0.25">
      <c r="A403" s="4" t="s">
        <v>7024</v>
      </c>
    </row>
    <row r="404" spans="1:19" x14ac:dyDescent="0.25">
      <c r="A404" s="88"/>
      <c r="B404" s="89"/>
      <c r="C404" t="s">
        <v>7025</v>
      </c>
      <c r="E404" s="306">
        <f>+LinkFromRateBase!G120</f>
        <v>-1973180</v>
      </c>
      <c r="F404" s="36">
        <v>3</v>
      </c>
      <c r="G404" t="str">
        <f>INDEX('Allocator Summary'!$B$8:$B$28,MATCH($F404,'Allocator Summary'!$A$8:$A$28))</f>
        <v>Fixed O&amp;M</v>
      </c>
      <c r="H404" s="64">
        <f>INDEX('Allocator Summary'!C$8:C$28,MATCH($F404,'Allocator Summary'!$A$8:$A$28))*$E404</f>
        <v>-42207.835620465004</v>
      </c>
      <c r="I404" s="64">
        <f>INDEX('Allocator Summary'!D$8:D$28,MATCH($F404,'Allocator Summary'!$A$8:$A$28))*$E404</f>
        <v>-348284.77144298214</v>
      </c>
      <c r="J404" s="64">
        <f>INDEX('Allocator Summary'!E$8:E$28,MATCH($F404,'Allocator Summary'!$A$8:$A$28))*$E404</f>
        <v>-229700.04603172914</v>
      </c>
      <c r="K404" s="64">
        <f>INDEX('Allocator Summary'!F$8:F$28,MATCH($F404,'Allocator Summary'!$A$8:$A$28))*$E404</f>
        <v>-118275.82122565863</v>
      </c>
      <c r="L404" s="64">
        <f>INDEX('Allocator Summary'!G$8:G$28,MATCH($F404,'Allocator Summary'!$A$8:$A$28))*$E404</f>
        <v>-359250.99140664551</v>
      </c>
      <c r="M404" s="64">
        <f>INDEX('Allocator Summary'!H$8:H$28,MATCH($F404,'Allocator Summary'!$A$8:$A$28))*$E404</f>
        <v>-2102.5842854566399</v>
      </c>
      <c r="N404" s="64">
        <f>INDEX('Allocator Summary'!I$8:I$28,MATCH($F404,'Allocator Summary'!$A$8:$A$28))*$E404</f>
        <v>-39723.256301987523</v>
      </c>
      <c r="O404" s="64">
        <f>INDEX('Allocator Summary'!J$8:J$26,MATCH($F404,'Allocator Summary'!$A$8:$A$28))*$E404</f>
        <v>-8027.0262948901427</v>
      </c>
      <c r="P404" s="64">
        <f>INDEX('Allocator Summary'!K$8:K$26,MATCH($F404,'Allocator Summary'!$A$8:$A$28))*$E404</f>
        <v>-521357.7456133535</v>
      </c>
      <c r="Q404" s="64">
        <f>INDEX('Allocator Summary'!L$8:L$28,MATCH($F404,'Allocator Summary'!$A$8:$A$28))*$E404</f>
        <v>-304249.92177683115</v>
      </c>
      <c r="R404" s="64">
        <f t="shared" ref="R404:R406" si="146">SUM(H404:Q404)</f>
        <v>-1973179.9999999993</v>
      </c>
      <c r="S404" s="64">
        <f>R404-E404</f>
        <v>0</v>
      </c>
    </row>
    <row r="405" spans="1:19" x14ac:dyDescent="0.25">
      <c r="A405" s="74"/>
      <c r="B405" s="74"/>
      <c r="C405" s="74" t="s">
        <v>7026</v>
      </c>
      <c r="D405" s="74"/>
      <c r="E405" s="306">
        <f>+LinkFromRateBase!G121</f>
        <v>685694</v>
      </c>
      <c r="F405" s="36">
        <v>5</v>
      </c>
      <c r="G405" t="str">
        <f>INDEX('Allocator Summary'!$B$8:$B$28,MATCH($F405,'Allocator Summary'!$A$8:$A$28))</f>
        <v>Net Plant (less gen. and int.)</v>
      </c>
      <c r="H405" s="64">
        <f>INDEX('Allocator Summary'!C$8:C$28,MATCH($F405,'Allocator Summary'!$A$8:$A$28))*$E405</f>
        <v>14979.480236945288</v>
      </c>
      <c r="I405" s="64">
        <f>INDEX('Allocator Summary'!D$8:D$28,MATCH($F405,'Allocator Summary'!$A$8:$A$28))*$E405</f>
        <v>40812.346902785197</v>
      </c>
      <c r="J405" s="64">
        <f>INDEX('Allocator Summary'!E$8:E$28,MATCH($F405,'Allocator Summary'!$A$8:$A$28))*$E405</f>
        <v>99889.824492761065</v>
      </c>
      <c r="K405" s="64">
        <f>INDEX('Allocator Summary'!F$8:F$28,MATCH($F405,'Allocator Summary'!$A$8:$A$28))*$E405</f>
        <v>140420.39691921073</v>
      </c>
      <c r="L405" s="64">
        <f>INDEX('Allocator Summary'!G$8:G$28,MATCH($F405,'Allocator Summary'!$A$8:$A$28))*$E405</f>
        <v>254821.73513903326</v>
      </c>
      <c r="M405" s="64">
        <f>INDEX('Allocator Summary'!H$8:H$28,MATCH($F405,'Allocator Summary'!$A$8:$A$28))*$E405</f>
        <v>23401.156361425539</v>
      </c>
      <c r="N405" s="64">
        <f>INDEX('Allocator Summary'!I$8:I$28,MATCH($F405,'Allocator Summary'!$A$8:$A$28))*$E405</f>
        <v>37901.436475868504</v>
      </c>
      <c r="O405" s="64">
        <f>INDEX('Allocator Summary'!J$8:J$26,MATCH($F405,'Allocator Summary'!$A$8:$A$28))*$E405</f>
        <v>14778.198200863006</v>
      </c>
      <c r="P405" s="64">
        <f>INDEX('Allocator Summary'!K$8:K$26,MATCH($F405,'Allocator Summary'!$A$8:$A$28))*$E405</f>
        <v>12191.965220553311</v>
      </c>
      <c r="Q405" s="64">
        <f>INDEX('Allocator Summary'!L$8:L$28,MATCH($F405,'Allocator Summary'!$A$8:$A$28))*$E405</f>
        <v>46497.460050554182</v>
      </c>
      <c r="R405" s="64">
        <f t="shared" si="146"/>
        <v>685694</v>
      </c>
      <c r="S405" s="64">
        <f>R405-E405</f>
        <v>0</v>
      </c>
    </row>
    <row r="406" spans="1:19" x14ac:dyDescent="0.25">
      <c r="A406" s="66"/>
      <c r="B406" s="66"/>
      <c r="C406" s="66" t="s">
        <v>7027</v>
      </c>
      <c r="D406" s="66"/>
      <c r="E406" s="306">
        <f>+LinkFromRateBase!G123</f>
        <v>251938</v>
      </c>
      <c r="F406" s="75">
        <v>5</v>
      </c>
      <c r="G406" s="66" t="str">
        <f>INDEX('Allocator Summary'!$B$8:$B$28,MATCH($F406,'Allocator Summary'!$A$8:$A$28))</f>
        <v>Net Plant (less gen. and int.)</v>
      </c>
      <c r="H406" s="76">
        <f>INDEX('Allocator Summary'!C$8:C$28,MATCH($F406,'Allocator Summary'!$A$8:$A$28))*$E406</f>
        <v>5503.7674121919135</v>
      </c>
      <c r="I406" s="76">
        <f>INDEX('Allocator Summary'!D$8:D$28,MATCH($F406,'Allocator Summary'!$A$8:$A$28))*$E406</f>
        <v>14995.290981099291</v>
      </c>
      <c r="J406" s="76">
        <f>INDEX('Allocator Summary'!E$8:E$28,MATCH($F406,'Allocator Summary'!$A$8:$A$28))*$E406</f>
        <v>36701.564550743096</v>
      </c>
      <c r="K406" s="76">
        <f>INDEX('Allocator Summary'!F$8:F$28,MATCH($F406,'Allocator Summary'!$A$8:$A$28))*$E406</f>
        <v>51593.325826144188</v>
      </c>
      <c r="L406" s="76">
        <f>INDEX('Allocator Summary'!G$8:G$28,MATCH($F406,'Allocator Summary'!$A$8:$A$28))*$E406</f>
        <v>93626.71732209668</v>
      </c>
      <c r="M406" s="76">
        <f>INDEX('Allocator Summary'!H$8:H$28,MATCH($F406,'Allocator Summary'!$A$8:$A$28))*$E406</f>
        <v>8598.0634676471236</v>
      </c>
      <c r="N406" s="76">
        <f>INDEX('Allocator Summary'!I$8:I$28,MATCH($F406,'Allocator Summary'!$A$8:$A$28))*$E406</f>
        <v>13925.762953821031</v>
      </c>
      <c r="O406" s="76">
        <f>INDEX('Allocator Summary'!J$8:J$26,MATCH($F406,'Allocator Summary'!$A$8:$A$28))*$E406</f>
        <v>5429.8122753429716</v>
      </c>
      <c r="P406" s="76">
        <f>INDEX('Allocator Summary'!K$8:K$26,MATCH($F406,'Allocator Summary'!$A$8:$A$28))*$E406</f>
        <v>4479.5773825288834</v>
      </c>
      <c r="Q406" s="76">
        <f>INDEX('Allocator Summary'!L$8:L$28,MATCH($F406,'Allocator Summary'!$A$8:$A$28))*$E406</f>
        <v>17084.117828384846</v>
      </c>
      <c r="R406" s="76">
        <f t="shared" si="146"/>
        <v>251938.00000000006</v>
      </c>
      <c r="S406" s="76">
        <f>R406-E406</f>
        <v>0</v>
      </c>
    </row>
    <row r="407" spans="1:19" x14ac:dyDescent="0.25">
      <c r="A407" s="4" t="s">
        <v>7028</v>
      </c>
      <c r="B407" s="4"/>
      <c r="C407" s="4"/>
      <c r="D407" s="4"/>
      <c r="E407" s="319">
        <f>SUM(E404:E406)</f>
        <v>-1035548</v>
      </c>
      <c r="H407" s="87">
        <f t="shared" ref="H407:S407" si="147">SUM(H404:H406)</f>
        <v>-21724.587971327805</v>
      </c>
      <c r="I407" s="87">
        <f t="shared" si="147"/>
        <v>-292477.13355909765</v>
      </c>
      <c r="J407" s="87">
        <f t="shared" si="147"/>
        <v>-93108.656988224975</v>
      </c>
      <c r="K407" s="87">
        <f t="shared" si="147"/>
        <v>73737.901519696286</v>
      </c>
      <c r="L407" s="87">
        <f t="shared" si="147"/>
        <v>-10802.538945515567</v>
      </c>
      <c r="M407" s="87">
        <f t="shared" si="147"/>
        <v>29896.635543616023</v>
      </c>
      <c r="N407" s="87">
        <f t="shared" si="147"/>
        <v>12103.943127702012</v>
      </c>
      <c r="O407" s="87">
        <f t="shared" si="147"/>
        <v>12180.984181315835</v>
      </c>
      <c r="P407" s="87">
        <f t="shared" si="147"/>
        <v>-504686.2030102713</v>
      </c>
      <c r="Q407" s="87">
        <f t="shared" si="147"/>
        <v>-240668.3438978921</v>
      </c>
      <c r="R407" s="87">
        <f t="shared" si="147"/>
        <v>-1035547.9999999993</v>
      </c>
      <c r="S407" s="87">
        <f t="shared" si="147"/>
        <v>0</v>
      </c>
    </row>
    <row r="409" spans="1:19" x14ac:dyDescent="0.25">
      <c r="A409" s="4" t="s">
        <v>7029</v>
      </c>
    </row>
    <row r="410" spans="1:19" x14ac:dyDescent="0.25">
      <c r="C410" t="s">
        <v>8139</v>
      </c>
    </row>
    <row r="411" spans="1:19" x14ac:dyDescent="0.25">
      <c r="C411" t="s">
        <v>8195</v>
      </c>
      <c r="E411" s="306">
        <f>LinkFromRateBase!G86</f>
        <v>304724.75715961657</v>
      </c>
      <c r="F411" s="36" t="s">
        <v>2211</v>
      </c>
      <c r="G411" t="str">
        <f>INDEX('Allocator Summary'!$B$8:$B$28,MATCH($F411,'Allocator Summary'!$A$8:$A$28))</f>
        <v>Mains</v>
      </c>
      <c r="H411" s="64">
        <f>INDEX('Allocator Summary'!C$8:C$28,MATCH($F411,'Allocator Summary'!$A$8:$A$28))*$E411</f>
        <v>0</v>
      </c>
      <c r="I411" s="64">
        <f>INDEX('Allocator Summary'!D$8:D$28,MATCH($F411,'Allocator Summary'!$A$8:$A$28))*$E411</f>
        <v>0</v>
      </c>
      <c r="J411" s="64">
        <f>INDEX('Allocator Summary'!E$8:E$28,MATCH($F411,'Allocator Summary'!$A$8:$A$28))*$E411</f>
        <v>0</v>
      </c>
      <c r="K411" s="64">
        <f>INDEX('Allocator Summary'!F$8:F$28,MATCH($F411,'Allocator Summary'!$A$8:$A$28))*$E411</f>
        <v>75475.491527205755</v>
      </c>
      <c r="L411" s="64">
        <f>INDEX('Allocator Summary'!G$8:G$28,MATCH($F411,'Allocator Summary'!$A$8:$A$28))*$E411</f>
        <v>229249.26563241082</v>
      </c>
      <c r="M411" s="64">
        <f>INDEX('Allocator Summary'!H$8:H$28,MATCH($F411,'Allocator Summary'!$A$8:$A$28))*$E411</f>
        <v>0</v>
      </c>
      <c r="N411" s="64">
        <f>INDEX('Allocator Summary'!I$8:I$28,MATCH($F411,'Allocator Summary'!$A$8:$A$28))*$E411</f>
        <v>0</v>
      </c>
      <c r="O411" s="64">
        <f>INDEX('Allocator Summary'!J$8:J$26,MATCH($F411,'Allocator Summary'!$A$8:$A$28))*$E411</f>
        <v>0</v>
      </c>
      <c r="P411" s="64">
        <f>INDEX('Allocator Summary'!K$8:K$26,MATCH($F411,'Allocator Summary'!$A$8:$A$28))*$E411</f>
        <v>0</v>
      </c>
      <c r="Q411" s="64">
        <f>INDEX('Allocator Summary'!L$8:L$28,MATCH($F411,'Allocator Summary'!$A$8:$A$28))*$E411</f>
        <v>0</v>
      </c>
      <c r="R411" s="64">
        <f t="shared" ref="R411:R424" si="148">SUM(H411:Q411)</f>
        <v>304724.75715961657</v>
      </c>
      <c r="S411" s="64">
        <f t="shared" ref="S411:S424" si="149">R411-E411</f>
        <v>0</v>
      </c>
    </row>
    <row r="412" spans="1:19" x14ac:dyDescent="0.25">
      <c r="C412" t="s">
        <v>8196</v>
      </c>
      <c r="E412" s="306">
        <f>LinkFromRateBase!G87</f>
        <v>5318646.7998067038</v>
      </c>
      <c r="F412" s="36" t="s">
        <v>2211</v>
      </c>
      <c r="G412" t="str">
        <f>INDEX('Allocator Summary'!$B$8:$B$28,MATCH($F412,'Allocator Summary'!$A$8:$A$28))</f>
        <v>Mains</v>
      </c>
      <c r="H412" s="64">
        <f>INDEX('Allocator Summary'!C$8:C$28,MATCH($F412,'Allocator Summary'!$A$8:$A$28))*$E412</f>
        <v>0</v>
      </c>
      <c r="I412" s="64">
        <f>INDEX('Allocator Summary'!D$8:D$28,MATCH($F412,'Allocator Summary'!$A$8:$A$28))*$E412</f>
        <v>0</v>
      </c>
      <c r="J412" s="64">
        <f>INDEX('Allocator Summary'!E$8:E$28,MATCH($F412,'Allocator Summary'!$A$8:$A$28))*$E412</f>
        <v>0</v>
      </c>
      <c r="K412" s="64">
        <f>INDEX('Allocator Summary'!F$8:F$28,MATCH($F412,'Allocator Summary'!$A$8:$A$28))*$E412</f>
        <v>1317344.4954613282</v>
      </c>
      <c r="L412" s="64">
        <f>INDEX('Allocator Summary'!G$8:G$28,MATCH($F412,'Allocator Summary'!$A$8:$A$28))*$E412</f>
        <v>4001302.3043453759</v>
      </c>
      <c r="M412" s="64">
        <f>INDEX('Allocator Summary'!H$8:H$28,MATCH($F412,'Allocator Summary'!$A$8:$A$28))*$E412</f>
        <v>0</v>
      </c>
      <c r="N412" s="64">
        <f>INDEX('Allocator Summary'!I$8:I$28,MATCH($F412,'Allocator Summary'!$A$8:$A$28))*$E412</f>
        <v>0</v>
      </c>
      <c r="O412" s="64">
        <f>INDEX('Allocator Summary'!J$8:J$26,MATCH($F412,'Allocator Summary'!$A$8:$A$28))*$E412</f>
        <v>0</v>
      </c>
      <c r="P412" s="64">
        <f>INDEX('Allocator Summary'!K$8:K$26,MATCH($F412,'Allocator Summary'!$A$8:$A$28))*$E412</f>
        <v>0</v>
      </c>
      <c r="Q412" s="64">
        <f>INDEX('Allocator Summary'!L$8:L$28,MATCH($F412,'Allocator Summary'!$A$8:$A$28))*$E412</f>
        <v>0</v>
      </c>
      <c r="R412" s="64">
        <f t="shared" si="148"/>
        <v>5318646.7998067038</v>
      </c>
      <c r="S412" s="64">
        <f t="shared" si="149"/>
        <v>0</v>
      </c>
    </row>
    <row r="413" spans="1:19" x14ac:dyDescent="0.25">
      <c r="C413" t="s">
        <v>8197</v>
      </c>
      <c r="E413" s="306">
        <f>LinkFromRateBase!G88</f>
        <v>9944.9488502906788</v>
      </c>
      <c r="F413" s="36" t="s">
        <v>7010</v>
      </c>
      <c r="G413" t="str">
        <f>INDEX('Allocator Summary'!$B$8:$B$28,MATCH($F413,'Allocator Summary'!$A$8:$A$28))</f>
        <v>Services</v>
      </c>
      <c r="H413" s="64">
        <f>INDEX('Allocator Summary'!C$8:C$28,MATCH($F413,'Allocator Summary'!$A$8:$A$28))*$E413</f>
        <v>0</v>
      </c>
      <c r="I413" s="64">
        <f>INDEX('Allocator Summary'!D$8:D$28,MATCH($F413,'Allocator Summary'!$A$8:$A$28))*$E413</f>
        <v>0</v>
      </c>
      <c r="J413" s="64">
        <f>INDEX('Allocator Summary'!E$8:E$28,MATCH($F413,'Allocator Summary'!$A$8:$A$28))*$E413</f>
        <v>0</v>
      </c>
      <c r="K413" s="64">
        <f>INDEX('Allocator Summary'!F$8:F$28,MATCH($F413,'Allocator Summary'!$A$8:$A$28))*$E413</f>
        <v>0</v>
      </c>
      <c r="L413" s="64">
        <f>INDEX('Allocator Summary'!G$8:G$28,MATCH($F413,'Allocator Summary'!$A$8:$A$28))*$E413</f>
        <v>0</v>
      </c>
      <c r="M413" s="64">
        <f>INDEX('Allocator Summary'!H$8:H$28,MATCH($F413,'Allocator Summary'!$A$8:$A$28))*$E413</f>
        <v>0</v>
      </c>
      <c r="N413" s="64">
        <f>INDEX('Allocator Summary'!I$8:I$28,MATCH($F413,'Allocator Summary'!$A$8:$A$28))*$E413</f>
        <v>0</v>
      </c>
      <c r="O413" s="64">
        <f>INDEX('Allocator Summary'!J$8:J$26,MATCH($F413,'Allocator Summary'!$A$8:$A$28))*$E413</f>
        <v>9944.9488502906788</v>
      </c>
      <c r="P413" s="64">
        <f>INDEX('Allocator Summary'!K$8:K$26,MATCH($F413,'Allocator Summary'!$A$8:$A$28))*$E413</f>
        <v>0</v>
      </c>
      <c r="Q413" s="64">
        <f>INDEX('Allocator Summary'!L$8:L$28,MATCH($F413,'Allocator Summary'!$A$8:$A$28))*$E413</f>
        <v>0</v>
      </c>
      <c r="R413" s="64">
        <f t="shared" si="148"/>
        <v>9944.9488502906788</v>
      </c>
      <c r="S413" s="64">
        <f t="shared" si="149"/>
        <v>0</v>
      </c>
    </row>
    <row r="414" spans="1:19" x14ac:dyDescent="0.25">
      <c r="C414" t="s">
        <v>8198</v>
      </c>
      <c r="E414" s="306">
        <f>LinkFromRateBase!G89</f>
        <v>7893.7457575541312</v>
      </c>
      <c r="F414" s="36" t="s">
        <v>7007</v>
      </c>
      <c r="G414" t="str">
        <f>INDEX('Allocator Summary'!$B$8:$B$28,MATCH($F414,'Allocator Summary'!$A$8:$A$28))</f>
        <v>Meters</v>
      </c>
      <c r="H414" s="64">
        <f>INDEX('Allocator Summary'!C$8:C$28,MATCH($F414,'Allocator Summary'!$A$8:$A$28))*$E414</f>
        <v>0</v>
      </c>
      <c r="I414" s="64">
        <f>INDEX('Allocator Summary'!D$8:D$28,MATCH($F414,'Allocator Summary'!$A$8:$A$28))*$E414</f>
        <v>0</v>
      </c>
      <c r="J414" s="64">
        <f>INDEX('Allocator Summary'!E$8:E$28,MATCH($F414,'Allocator Summary'!$A$8:$A$28))*$E414</f>
        <v>0</v>
      </c>
      <c r="K414" s="64">
        <f>INDEX('Allocator Summary'!F$8:F$28,MATCH($F414,'Allocator Summary'!$A$8:$A$28))*$E414</f>
        <v>0</v>
      </c>
      <c r="L414" s="64">
        <f>INDEX('Allocator Summary'!G$8:G$28,MATCH($F414,'Allocator Summary'!$A$8:$A$28))*$E414</f>
        <v>0</v>
      </c>
      <c r="M414" s="64">
        <f>INDEX('Allocator Summary'!H$8:H$28,MATCH($F414,'Allocator Summary'!$A$8:$A$28))*$E414</f>
        <v>0</v>
      </c>
      <c r="N414" s="64">
        <f>INDEX('Allocator Summary'!I$8:I$28,MATCH($F414,'Allocator Summary'!$A$8:$A$28))*$E414</f>
        <v>7893.7457575541312</v>
      </c>
      <c r="O414" s="64">
        <f>INDEX('Allocator Summary'!J$8:J$26,MATCH($F414,'Allocator Summary'!$A$8:$A$28))*$E414</f>
        <v>0</v>
      </c>
      <c r="P414" s="64">
        <f>INDEX('Allocator Summary'!K$8:K$26,MATCH($F414,'Allocator Summary'!$A$8:$A$28))*$E414</f>
        <v>0</v>
      </c>
      <c r="Q414" s="64">
        <f>INDEX('Allocator Summary'!L$8:L$28,MATCH($F414,'Allocator Summary'!$A$8:$A$28))*$E414</f>
        <v>0</v>
      </c>
      <c r="R414" s="64">
        <f t="shared" si="148"/>
        <v>7893.7457575541312</v>
      </c>
      <c r="S414" s="64">
        <f t="shared" si="149"/>
        <v>0</v>
      </c>
    </row>
    <row r="415" spans="1:19" x14ac:dyDescent="0.25">
      <c r="C415" t="s">
        <v>8199</v>
      </c>
      <c r="E415" s="306">
        <f>LinkFromRateBase!G90</f>
        <v>224569.43361799046</v>
      </c>
      <c r="F415" s="36" t="s">
        <v>7009</v>
      </c>
      <c r="G415" t="str">
        <f>INDEX('Allocator Summary'!$B$8:$B$28,MATCH($F415,'Allocator Summary'!$A$8:$A$28))</f>
        <v>Hydrants</v>
      </c>
      <c r="H415" s="64">
        <f>INDEX('Allocator Summary'!C$8:C$28,MATCH($F415,'Allocator Summary'!$A$8:$A$28))*$E415</f>
        <v>0</v>
      </c>
      <c r="I415" s="64">
        <f>INDEX('Allocator Summary'!D$8:D$28,MATCH($F415,'Allocator Summary'!$A$8:$A$28))*$E415</f>
        <v>0</v>
      </c>
      <c r="J415" s="64">
        <f>INDEX('Allocator Summary'!E$8:E$28,MATCH($F415,'Allocator Summary'!$A$8:$A$28))*$E415</f>
        <v>0</v>
      </c>
      <c r="K415" s="64">
        <f>INDEX('Allocator Summary'!F$8:F$28,MATCH($F415,'Allocator Summary'!$A$8:$A$28))*$E415</f>
        <v>0</v>
      </c>
      <c r="L415" s="64">
        <f>INDEX('Allocator Summary'!G$8:G$28,MATCH($F415,'Allocator Summary'!$A$8:$A$28))*$E415</f>
        <v>0</v>
      </c>
      <c r="M415" s="64">
        <f>INDEX('Allocator Summary'!H$8:H$28,MATCH($F415,'Allocator Summary'!$A$8:$A$28))*$E415</f>
        <v>0</v>
      </c>
      <c r="N415" s="64">
        <f>INDEX('Allocator Summary'!I$8:I$28,MATCH($F415,'Allocator Summary'!$A$8:$A$28))*$E415</f>
        <v>0</v>
      </c>
      <c r="O415" s="64">
        <f>INDEX('Allocator Summary'!J$8:J$26,MATCH($F415,'Allocator Summary'!$A$8:$A$28))*$E415</f>
        <v>0</v>
      </c>
      <c r="P415" s="64">
        <f>INDEX('Allocator Summary'!K$8:K$26,MATCH($F415,'Allocator Summary'!$A$8:$A$28))*$E415</f>
        <v>0</v>
      </c>
      <c r="Q415" s="64">
        <f>INDEX('Allocator Summary'!L$8:L$28,MATCH($F415,'Allocator Summary'!$A$8:$A$28))*$E415</f>
        <v>224569.43361799046</v>
      </c>
      <c r="R415" s="64">
        <f t="shared" si="148"/>
        <v>224569.43361799046</v>
      </c>
      <c r="S415" s="64">
        <f t="shared" si="149"/>
        <v>0</v>
      </c>
    </row>
    <row r="416" spans="1:19" x14ac:dyDescent="0.25">
      <c r="C416" t="s">
        <v>8200</v>
      </c>
      <c r="E416" s="306">
        <f>LinkFromRateBase!G91</f>
        <v>1760.7977304185019</v>
      </c>
      <c r="F416" s="36" t="s">
        <v>2211</v>
      </c>
      <c r="G416" t="str">
        <f>INDEX('Allocator Summary'!$B$8:$B$28,MATCH($F416,'Allocator Summary'!$A$8:$A$28))</f>
        <v>Mains</v>
      </c>
      <c r="H416" s="64">
        <f>INDEX('Allocator Summary'!C$8:C$28,MATCH($F416,'Allocator Summary'!$A$8:$A$28))*$E416</f>
        <v>0</v>
      </c>
      <c r="I416" s="64">
        <f>INDEX('Allocator Summary'!D$8:D$28,MATCH($F416,'Allocator Summary'!$A$8:$A$28))*$E416</f>
        <v>0</v>
      </c>
      <c r="J416" s="64">
        <f>INDEX('Allocator Summary'!E$8:E$28,MATCH($F416,'Allocator Summary'!$A$8:$A$28))*$E416</f>
        <v>0</v>
      </c>
      <c r="K416" s="64">
        <f>INDEX('Allocator Summary'!F$8:F$28,MATCH($F416,'Allocator Summary'!$A$8:$A$28))*$E416</f>
        <v>436.12168378466379</v>
      </c>
      <c r="L416" s="64">
        <f>INDEX('Allocator Summary'!G$8:G$28,MATCH($F416,'Allocator Summary'!$A$8:$A$28))*$E416</f>
        <v>1324.6760466338383</v>
      </c>
      <c r="M416" s="64">
        <f>INDEX('Allocator Summary'!H$8:H$28,MATCH($F416,'Allocator Summary'!$A$8:$A$28))*$E416</f>
        <v>0</v>
      </c>
      <c r="N416" s="64">
        <f>INDEX('Allocator Summary'!I$8:I$28,MATCH($F416,'Allocator Summary'!$A$8:$A$28))*$E416</f>
        <v>0</v>
      </c>
      <c r="O416" s="64">
        <f>INDEX('Allocator Summary'!J$8:J$26,MATCH($F416,'Allocator Summary'!$A$8:$A$28))*$E416</f>
        <v>0</v>
      </c>
      <c r="P416" s="64">
        <f>INDEX('Allocator Summary'!K$8:K$26,MATCH($F416,'Allocator Summary'!$A$8:$A$28))*$E416</f>
        <v>0</v>
      </c>
      <c r="Q416" s="64">
        <f>INDEX('Allocator Summary'!L$8:L$28,MATCH($F416,'Allocator Summary'!$A$8:$A$28))*$E416</f>
        <v>0</v>
      </c>
      <c r="R416" s="64">
        <f t="shared" si="148"/>
        <v>1760.7977304185019</v>
      </c>
      <c r="S416" s="64">
        <f t="shared" si="149"/>
        <v>0</v>
      </c>
    </row>
    <row r="417" spans="3:19" x14ac:dyDescent="0.25">
      <c r="C417" t="s">
        <v>8201</v>
      </c>
      <c r="E417" s="306">
        <f>LinkFromRateBase!G92</f>
        <v>712422.89397754066</v>
      </c>
      <c r="F417" s="36" t="s">
        <v>2211</v>
      </c>
      <c r="G417" t="str">
        <f>INDEX('Allocator Summary'!$B$8:$B$28,MATCH($F417,'Allocator Summary'!$A$8:$A$28))</f>
        <v>Mains</v>
      </c>
      <c r="H417" s="64">
        <f>INDEX('Allocator Summary'!C$8:C$28,MATCH($F417,'Allocator Summary'!$A$8:$A$28))*$E417</f>
        <v>0</v>
      </c>
      <c r="I417" s="64">
        <f>INDEX('Allocator Summary'!D$8:D$28,MATCH($F417,'Allocator Summary'!$A$8:$A$28))*$E417</f>
        <v>0</v>
      </c>
      <c r="J417" s="64">
        <f>INDEX('Allocator Summary'!E$8:E$28,MATCH($F417,'Allocator Summary'!$A$8:$A$28))*$E417</f>
        <v>0</v>
      </c>
      <c r="K417" s="64">
        <f>INDEX('Allocator Summary'!F$8:F$28,MATCH($F417,'Allocator Summary'!$A$8:$A$28))*$E417</f>
        <v>176455.85675214435</v>
      </c>
      <c r="L417" s="64">
        <f>INDEX('Allocator Summary'!G$8:G$28,MATCH($F417,'Allocator Summary'!$A$8:$A$28))*$E417</f>
        <v>535967.03722539637</v>
      </c>
      <c r="M417" s="64">
        <f>INDEX('Allocator Summary'!H$8:H$28,MATCH($F417,'Allocator Summary'!$A$8:$A$28))*$E417</f>
        <v>0</v>
      </c>
      <c r="N417" s="64">
        <f>INDEX('Allocator Summary'!I$8:I$28,MATCH($F417,'Allocator Summary'!$A$8:$A$28))*$E417</f>
        <v>0</v>
      </c>
      <c r="O417" s="64">
        <f>INDEX('Allocator Summary'!J$8:J$26,MATCH($F417,'Allocator Summary'!$A$8:$A$28))*$E417</f>
        <v>0</v>
      </c>
      <c r="P417" s="64">
        <f>INDEX('Allocator Summary'!K$8:K$26,MATCH($F417,'Allocator Summary'!$A$8:$A$28))*$E417</f>
        <v>0</v>
      </c>
      <c r="Q417" s="64">
        <f>INDEX('Allocator Summary'!L$8:L$28,MATCH($F417,'Allocator Summary'!$A$8:$A$28))*$E417</f>
        <v>0</v>
      </c>
      <c r="R417" s="64">
        <f t="shared" si="148"/>
        <v>712422.89397754078</v>
      </c>
      <c r="S417" s="64">
        <f t="shared" si="149"/>
        <v>0</v>
      </c>
    </row>
    <row r="418" spans="3:19" x14ac:dyDescent="0.25">
      <c r="C418" t="s">
        <v>8202</v>
      </c>
      <c r="E418" s="306">
        <f>LinkFromRateBase!G93</f>
        <v>728713.14260211657</v>
      </c>
      <c r="F418" s="36" t="s">
        <v>2211</v>
      </c>
      <c r="G418" t="str">
        <f>INDEX('Allocator Summary'!$B$8:$B$28,MATCH($F418,'Allocator Summary'!$A$8:$A$28))</f>
        <v>Mains</v>
      </c>
      <c r="H418" s="64">
        <f>INDEX('Allocator Summary'!C$8:C$28,MATCH($F418,'Allocator Summary'!$A$8:$A$28))*$E418</f>
        <v>0</v>
      </c>
      <c r="I418" s="64">
        <f>INDEX('Allocator Summary'!D$8:D$28,MATCH($F418,'Allocator Summary'!$A$8:$A$28))*$E418</f>
        <v>0</v>
      </c>
      <c r="J418" s="64">
        <f>INDEX('Allocator Summary'!E$8:E$28,MATCH($F418,'Allocator Summary'!$A$8:$A$28))*$E418</f>
        <v>0</v>
      </c>
      <c r="K418" s="64">
        <f>INDEX('Allocator Summary'!F$8:F$28,MATCH($F418,'Allocator Summary'!$A$8:$A$28))*$E418</f>
        <v>180490.69308608957</v>
      </c>
      <c r="L418" s="64">
        <f>INDEX('Allocator Summary'!G$8:G$28,MATCH($F418,'Allocator Summary'!$A$8:$A$28))*$E418</f>
        <v>548222.449516027</v>
      </c>
      <c r="M418" s="64">
        <f>INDEX('Allocator Summary'!H$8:H$28,MATCH($F418,'Allocator Summary'!$A$8:$A$28))*$E418</f>
        <v>0</v>
      </c>
      <c r="N418" s="64">
        <f>INDEX('Allocator Summary'!I$8:I$28,MATCH($F418,'Allocator Summary'!$A$8:$A$28))*$E418</f>
        <v>0</v>
      </c>
      <c r="O418" s="64">
        <f>INDEX('Allocator Summary'!J$8:J$26,MATCH($F418,'Allocator Summary'!$A$8:$A$28))*$E418</f>
        <v>0</v>
      </c>
      <c r="P418" s="64">
        <f>INDEX('Allocator Summary'!K$8:K$26,MATCH($F418,'Allocator Summary'!$A$8:$A$28))*$E418</f>
        <v>0</v>
      </c>
      <c r="Q418" s="64">
        <f>INDEX('Allocator Summary'!L$8:L$28,MATCH($F418,'Allocator Summary'!$A$8:$A$28))*$E418</f>
        <v>0</v>
      </c>
      <c r="R418" s="64">
        <f t="shared" si="148"/>
        <v>728713.14260211657</v>
      </c>
      <c r="S418" s="64">
        <f t="shared" si="149"/>
        <v>0</v>
      </c>
    </row>
    <row r="419" spans="3:19" x14ac:dyDescent="0.25">
      <c r="C419" t="s">
        <v>8203</v>
      </c>
      <c r="E419" s="306">
        <f>LinkFromRateBase!G94</f>
        <v>309170.36968237458</v>
      </c>
      <c r="F419" s="36" t="s">
        <v>7009</v>
      </c>
      <c r="G419" t="str">
        <f>INDEX('Allocator Summary'!$B$8:$B$28,MATCH($F419,'Allocator Summary'!$A$8:$A$28))</f>
        <v>Hydrants</v>
      </c>
      <c r="H419" s="64">
        <f>INDEX('Allocator Summary'!C$8:C$28,MATCH($F419,'Allocator Summary'!$A$8:$A$28))*$E419</f>
        <v>0</v>
      </c>
      <c r="I419" s="64">
        <f>INDEX('Allocator Summary'!D$8:D$28,MATCH($F419,'Allocator Summary'!$A$8:$A$28))*$E419</f>
        <v>0</v>
      </c>
      <c r="J419" s="64">
        <f>INDEX('Allocator Summary'!E$8:E$28,MATCH($F419,'Allocator Summary'!$A$8:$A$28))*$E419</f>
        <v>0</v>
      </c>
      <c r="K419" s="64">
        <f>INDEX('Allocator Summary'!F$8:F$28,MATCH($F419,'Allocator Summary'!$A$8:$A$28))*$E419</f>
        <v>0</v>
      </c>
      <c r="L419" s="64">
        <f>INDEX('Allocator Summary'!G$8:G$28,MATCH($F419,'Allocator Summary'!$A$8:$A$28))*$E419</f>
        <v>0</v>
      </c>
      <c r="M419" s="64">
        <f>INDEX('Allocator Summary'!H$8:H$28,MATCH($F419,'Allocator Summary'!$A$8:$A$28))*$E419</f>
        <v>0</v>
      </c>
      <c r="N419" s="64">
        <f>INDEX('Allocator Summary'!I$8:I$28,MATCH($F419,'Allocator Summary'!$A$8:$A$28))*$E419</f>
        <v>0</v>
      </c>
      <c r="O419" s="64">
        <f>INDEX('Allocator Summary'!J$8:J$26,MATCH($F419,'Allocator Summary'!$A$8:$A$28))*$E419</f>
        <v>0</v>
      </c>
      <c r="P419" s="64">
        <f>INDEX('Allocator Summary'!K$8:K$26,MATCH($F419,'Allocator Summary'!$A$8:$A$28))*$E419</f>
        <v>0</v>
      </c>
      <c r="Q419" s="64">
        <f>INDEX('Allocator Summary'!L$8:L$28,MATCH($F419,'Allocator Summary'!$A$8:$A$28))*$E419</f>
        <v>309170.36968237458</v>
      </c>
      <c r="R419" s="64">
        <f t="shared" si="148"/>
        <v>309170.36968237458</v>
      </c>
      <c r="S419" s="64">
        <f t="shared" si="149"/>
        <v>0</v>
      </c>
    </row>
    <row r="420" spans="3:19" x14ac:dyDescent="0.25">
      <c r="C420" t="s">
        <v>8204</v>
      </c>
      <c r="E420" s="306">
        <f>LinkFromRateBase!G95</f>
        <v>4217.1909136620443</v>
      </c>
      <c r="F420" s="36" t="s">
        <v>2211</v>
      </c>
      <c r="G420" t="str">
        <f>INDEX('Allocator Summary'!$B$8:$B$28,MATCH($F420,'Allocator Summary'!$A$8:$A$28))</f>
        <v>Mains</v>
      </c>
      <c r="H420" s="64">
        <f>INDEX('Allocator Summary'!C$8:C$28,MATCH($F420,'Allocator Summary'!$A$8:$A$28))*$E420</f>
        <v>0</v>
      </c>
      <c r="I420" s="64">
        <f>INDEX('Allocator Summary'!D$8:D$28,MATCH($F420,'Allocator Summary'!$A$8:$A$28))*$E420</f>
        <v>0</v>
      </c>
      <c r="J420" s="64">
        <f>INDEX('Allocator Summary'!E$8:E$28,MATCH($F420,'Allocator Summary'!$A$8:$A$28))*$E420</f>
        <v>0</v>
      </c>
      <c r="K420" s="64">
        <f>INDEX('Allocator Summary'!F$8:F$28,MATCH($F420,'Allocator Summary'!$A$8:$A$28))*$E420</f>
        <v>1044.5313339145075</v>
      </c>
      <c r="L420" s="64">
        <f>INDEX('Allocator Summary'!G$8:G$28,MATCH($F420,'Allocator Summary'!$A$8:$A$28))*$E420</f>
        <v>3172.659579747537</v>
      </c>
      <c r="M420" s="64">
        <f>INDEX('Allocator Summary'!H$8:H$28,MATCH($F420,'Allocator Summary'!$A$8:$A$28))*$E420</f>
        <v>0</v>
      </c>
      <c r="N420" s="64">
        <f>INDEX('Allocator Summary'!I$8:I$28,MATCH($F420,'Allocator Summary'!$A$8:$A$28))*$E420</f>
        <v>0</v>
      </c>
      <c r="O420" s="64">
        <f>INDEX('Allocator Summary'!J$8:J$26,MATCH($F420,'Allocator Summary'!$A$8:$A$28))*$E420</f>
        <v>0</v>
      </c>
      <c r="P420" s="64">
        <f>INDEX('Allocator Summary'!K$8:K$26,MATCH($F420,'Allocator Summary'!$A$8:$A$28))*$E420</f>
        <v>0</v>
      </c>
      <c r="Q420" s="64">
        <f>INDEX('Allocator Summary'!L$8:L$28,MATCH($F420,'Allocator Summary'!$A$8:$A$28))*$E420</f>
        <v>0</v>
      </c>
      <c r="R420" s="64">
        <f t="shared" si="148"/>
        <v>4217.1909136620443</v>
      </c>
      <c r="S420" s="64">
        <f t="shared" si="149"/>
        <v>0</v>
      </c>
    </row>
    <row r="421" spans="3:19" x14ac:dyDescent="0.25">
      <c r="C421" t="s">
        <v>8205</v>
      </c>
      <c r="E421" s="306">
        <f>LinkFromRateBase!G96</f>
        <v>0</v>
      </c>
      <c r="F421" s="36" t="s">
        <v>2211</v>
      </c>
      <c r="G421" t="str">
        <f>INDEX('Allocator Summary'!$B$8:$B$28,MATCH($F421,'Allocator Summary'!$A$8:$A$28))</f>
        <v>Mains</v>
      </c>
      <c r="H421" s="64">
        <f>INDEX('Allocator Summary'!C$8:C$28,MATCH($F421,'Allocator Summary'!$A$8:$A$28))*$E421</f>
        <v>0</v>
      </c>
      <c r="I421" s="64">
        <f>INDEX('Allocator Summary'!D$8:D$28,MATCH($F421,'Allocator Summary'!$A$8:$A$28))*$E421</f>
        <v>0</v>
      </c>
      <c r="J421" s="64">
        <f>INDEX('Allocator Summary'!E$8:E$28,MATCH($F421,'Allocator Summary'!$A$8:$A$28))*$E421</f>
        <v>0</v>
      </c>
      <c r="K421" s="64">
        <f>INDEX('Allocator Summary'!F$8:F$28,MATCH($F421,'Allocator Summary'!$A$8:$A$28))*$E421</f>
        <v>0</v>
      </c>
      <c r="L421" s="64">
        <f>INDEX('Allocator Summary'!G$8:G$28,MATCH($F421,'Allocator Summary'!$A$8:$A$28))*$E421</f>
        <v>0</v>
      </c>
      <c r="M421" s="64">
        <f>INDEX('Allocator Summary'!H$8:H$28,MATCH($F421,'Allocator Summary'!$A$8:$A$28))*$E421</f>
        <v>0</v>
      </c>
      <c r="N421" s="64">
        <f>INDEX('Allocator Summary'!I$8:I$28,MATCH($F421,'Allocator Summary'!$A$8:$A$28))*$E421</f>
        <v>0</v>
      </c>
      <c r="O421" s="64">
        <f>INDEX('Allocator Summary'!J$8:J$26,MATCH($F421,'Allocator Summary'!$A$8:$A$28))*$E421</f>
        <v>0</v>
      </c>
      <c r="P421" s="64">
        <f>INDEX('Allocator Summary'!K$8:K$26,MATCH($F421,'Allocator Summary'!$A$8:$A$28))*$E421</f>
        <v>0</v>
      </c>
      <c r="Q421" s="64">
        <f>INDEX('Allocator Summary'!L$8:L$28,MATCH($F421,'Allocator Summary'!$A$8:$A$28))*$E421</f>
        <v>0</v>
      </c>
      <c r="R421" s="64">
        <f t="shared" si="148"/>
        <v>0</v>
      </c>
      <c r="S421" s="64">
        <f t="shared" si="149"/>
        <v>0</v>
      </c>
    </row>
    <row r="422" spans="3:19" x14ac:dyDescent="0.25">
      <c r="C422" t="s">
        <v>8206</v>
      </c>
      <c r="E422" s="306">
        <f>LinkFromRateBase!G97</f>
        <v>18197.970807076224</v>
      </c>
      <c r="F422" s="36" t="s">
        <v>2211</v>
      </c>
      <c r="G422" t="str">
        <f>INDEX('Allocator Summary'!$B$8:$B$28,MATCH($F422,'Allocator Summary'!$A$8:$A$28))</f>
        <v>Mains</v>
      </c>
      <c r="H422" s="64">
        <f>INDEX('Allocator Summary'!C$8:C$28,MATCH($F422,'Allocator Summary'!$A$8:$A$28))*$E422</f>
        <v>0</v>
      </c>
      <c r="I422" s="64">
        <f>INDEX('Allocator Summary'!D$8:D$28,MATCH($F422,'Allocator Summary'!$A$8:$A$28))*$E422</f>
        <v>0</v>
      </c>
      <c r="J422" s="64">
        <f>INDEX('Allocator Summary'!E$8:E$28,MATCH($F422,'Allocator Summary'!$A$8:$A$28))*$E422</f>
        <v>0</v>
      </c>
      <c r="K422" s="64">
        <f>INDEX('Allocator Summary'!F$8:F$28,MATCH($F422,'Allocator Summary'!$A$8:$A$28))*$E422</f>
        <v>4507.3488753077309</v>
      </c>
      <c r="L422" s="64">
        <f>INDEX('Allocator Summary'!G$8:G$28,MATCH($F422,'Allocator Summary'!$A$8:$A$28))*$E422</f>
        <v>13690.621931768494</v>
      </c>
      <c r="M422" s="64">
        <f>INDEX('Allocator Summary'!H$8:H$28,MATCH($F422,'Allocator Summary'!$A$8:$A$28))*$E422</f>
        <v>0</v>
      </c>
      <c r="N422" s="64">
        <f>INDEX('Allocator Summary'!I$8:I$28,MATCH($F422,'Allocator Summary'!$A$8:$A$28))*$E422</f>
        <v>0</v>
      </c>
      <c r="O422" s="64">
        <f>INDEX('Allocator Summary'!J$8:J$26,MATCH($F422,'Allocator Summary'!$A$8:$A$28))*$E422</f>
        <v>0</v>
      </c>
      <c r="P422" s="64">
        <f>INDEX('Allocator Summary'!K$8:K$26,MATCH($F422,'Allocator Summary'!$A$8:$A$28))*$E422</f>
        <v>0</v>
      </c>
      <c r="Q422" s="64">
        <f>INDEX('Allocator Summary'!L$8:L$28,MATCH($F422,'Allocator Summary'!$A$8:$A$28))*$E422</f>
        <v>0</v>
      </c>
      <c r="R422" s="64">
        <f t="shared" si="148"/>
        <v>18197.970807076224</v>
      </c>
      <c r="S422" s="64">
        <f t="shared" si="149"/>
        <v>0</v>
      </c>
    </row>
    <row r="423" spans="3:19" x14ac:dyDescent="0.25">
      <c r="C423" t="s">
        <v>8207</v>
      </c>
      <c r="E423" s="306">
        <f>LinkFromRateBase!G98</f>
        <v>63889.179709969896</v>
      </c>
      <c r="F423" s="36" t="s">
        <v>2211</v>
      </c>
      <c r="G423" t="str">
        <f>INDEX('Allocator Summary'!$B$8:$B$28,MATCH($F423,'Allocator Summary'!$A$8:$A$28))</f>
        <v>Mains</v>
      </c>
      <c r="H423" s="64">
        <f>INDEX('Allocator Summary'!C$8:C$28,MATCH($F423,'Allocator Summary'!$A$8:$A$28))*$E423</f>
        <v>0</v>
      </c>
      <c r="I423" s="64">
        <f>INDEX('Allocator Summary'!D$8:D$28,MATCH($F423,'Allocator Summary'!$A$8:$A$28))*$E423</f>
        <v>0</v>
      </c>
      <c r="J423" s="64">
        <f>INDEX('Allocator Summary'!E$8:E$28,MATCH($F423,'Allocator Summary'!$A$8:$A$28))*$E423</f>
        <v>0</v>
      </c>
      <c r="K423" s="64">
        <f>INDEX('Allocator Summary'!F$8:F$28,MATCH($F423,'Allocator Summary'!$A$8:$A$28))*$E423</f>
        <v>15824.336974872482</v>
      </c>
      <c r="L423" s="64">
        <f>INDEX('Allocator Summary'!G$8:G$28,MATCH($F423,'Allocator Summary'!$A$8:$A$28))*$E423</f>
        <v>48064.842735097416</v>
      </c>
      <c r="M423" s="64">
        <f>INDEX('Allocator Summary'!H$8:H$28,MATCH($F423,'Allocator Summary'!$A$8:$A$28))*$E423</f>
        <v>0</v>
      </c>
      <c r="N423" s="64">
        <f>INDEX('Allocator Summary'!I$8:I$28,MATCH($F423,'Allocator Summary'!$A$8:$A$28))*$E423</f>
        <v>0</v>
      </c>
      <c r="O423" s="64">
        <f>INDEX('Allocator Summary'!J$8:J$26,MATCH($F423,'Allocator Summary'!$A$8:$A$28))*$E423</f>
        <v>0</v>
      </c>
      <c r="P423" s="64">
        <f>INDEX('Allocator Summary'!K$8:K$26,MATCH($F423,'Allocator Summary'!$A$8:$A$28))*$E423</f>
        <v>0</v>
      </c>
      <c r="Q423" s="64">
        <f>INDEX('Allocator Summary'!L$8:L$28,MATCH($F423,'Allocator Summary'!$A$8:$A$28))*$E423</f>
        <v>0</v>
      </c>
      <c r="R423" s="64">
        <f t="shared" si="148"/>
        <v>63889.179709969896</v>
      </c>
      <c r="S423" s="64">
        <f t="shared" si="149"/>
        <v>0</v>
      </c>
    </row>
    <row r="424" spans="3:19" x14ac:dyDescent="0.25">
      <c r="C424" t="s">
        <v>8208</v>
      </c>
      <c r="E424" s="306">
        <f>LinkFromRateBase!G99</f>
        <v>32248.769384685667</v>
      </c>
      <c r="F424" s="36" t="s">
        <v>7009</v>
      </c>
      <c r="G424" t="str">
        <f>INDEX('Allocator Summary'!$B$8:$B$28,MATCH($F424,'Allocator Summary'!$A$8:$A$28))</f>
        <v>Hydrants</v>
      </c>
      <c r="H424" s="64">
        <f>INDEX('Allocator Summary'!C$8:C$28,MATCH($F424,'Allocator Summary'!$A$8:$A$28))*$E424</f>
        <v>0</v>
      </c>
      <c r="I424" s="64">
        <f>INDEX('Allocator Summary'!D$8:D$28,MATCH($F424,'Allocator Summary'!$A$8:$A$28))*$E424</f>
        <v>0</v>
      </c>
      <c r="J424" s="64">
        <f>INDEX('Allocator Summary'!E$8:E$28,MATCH($F424,'Allocator Summary'!$A$8:$A$28))*$E424</f>
        <v>0</v>
      </c>
      <c r="K424" s="64">
        <f>INDEX('Allocator Summary'!F$8:F$28,MATCH($F424,'Allocator Summary'!$A$8:$A$28))*$E424</f>
        <v>0</v>
      </c>
      <c r="L424" s="64">
        <f>INDEX('Allocator Summary'!G$8:G$28,MATCH($F424,'Allocator Summary'!$A$8:$A$28))*$E424</f>
        <v>0</v>
      </c>
      <c r="M424" s="64">
        <f>INDEX('Allocator Summary'!H$8:H$28,MATCH($F424,'Allocator Summary'!$A$8:$A$28))*$E424</f>
        <v>0</v>
      </c>
      <c r="N424" s="64">
        <f>INDEX('Allocator Summary'!I$8:I$28,MATCH($F424,'Allocator Summary'!$A$8:$A$28))*$E424</f>
        <v>0</v>
      </c>
      <c r="O424" s="64">
        <f>INDEX('Allocator Summary'!J$8:J$26,MATCH($F424,'Allocator Summary'!$A$8:$A$28))*$E424</f>
        <v>0</v>
      </c>
      <c r="P424" s="64">
        <f>INDEX('Allocator Summary'!K$8:K$26,MATCH($F424,'Allocator Summary'!$A$8:$A$28))*$E424</f>
        <v>0</v>
      </c>
      <c r="Q424" s="64">
        <f>INDEX('Allocator Summary'!L$8:L$28,MATCH($F424,'Allocator Summary'!$A$8:$A$28))*$E424</f>
        <v>32248.769384685667</v>
      </c>
      <c r="R424" s="64">
        <f t="shared" si="148"/>
        <v>32248.769384685667</v>
      </c>
      <c r="S424" s="64">
        <f t="shared" si="149"/>
        <v>0</v>
      </c>
    </row>
    <row r="425" spans="3:19" x14ac:dyDescent="0.25">
      <c r="C425" t="s">
        <v>8140</v>
      </c>
    </row>
    <row r="426" spans="3:19" x14ac:dyDescent="0.25">
      <c r="C426" s="247" t="s">
        <v>8209</v>
      </c>
      <c r="E426" s="306">
        <f>LinkFromRateBase!G103</f>
        <v>77004.336964833274</v>
      </c>
      <c r="F426" s="36" t="s">
        <v>2211</v>
      </c>
      <c r="G426" t="str">
        <f>INDEX('Allocator Summary'!$B$8:$B$28,MATCH($F426,'Allocator Summary'!$A$8:$A$28))</f>
        <v>Mains</v>
      </c>
      <c r="H426" s="64">
        <f>INDEX('Allocator Summary'!C$8:C$28,MATCH($F426,'Allocator Summary'!$A$8:$A$28))*$E426</f>
        <v>0</v>
      </c>
      <c r="I426" s="64">
        <f>INDEX('Allocator Summary'!D$8:D$28,MATCH($F426,'Allocator Summary'!$A$8:$A$28))*$E426</f>
        <v>0</v>
      </c>
      <c r="J426" s="64">
        <f>INDEX('Allocator Summary'!E$8:E$28,MATCH($F426,'Allocator Summary'!$A$8:$A$28))*$E426</f>
        <v>0</v>
      </c>
      <c r="K426" s="64">
        <f>INDEX('Allocator Summary'!F$8:F$28,MATCH($F426,'Allocator Summary'!$A$8:$A$28))*$E426</f>
        <v>19072.753511468196</v>
      </c>
      <c r="L426" s="64">
        <f>INDEX('Allocator Summary'!G$8:G$28,MATCH($F426,'Allocator Summary'!$A$8:$A$28))*$E426</f>
        <v>57931.583453365078</v>
      </c>
      <c r="M426" s="64">
        <f>INDEX('Allocator Summary'!H$8:H$28,MATCH($F426,'Allocator Summary'!$A$8:$A$28))*$E426</f>
        <v>0</v>
      </c>
      <c r="N426" s="64">
        <f>INDEX('Allocator Summary'!I$8:I$28,MATCH($F426,'Allocator Summary'!$A$8:$A$28))*$E426</f>
        <v>0</v>
      </c>
      <c r="O426" s="64">
        <f>INDEX('Allocator Summary'!J$8:J$26,MATCH($F426,'Allocator Summary'!$A$8:$A$28))*$E426</f>
        <v>0</v>
      </c>
      <c r="P426" s="64">
        <f>INDEX('Allocator Summary'!K$8:K$26,MATCH($F426,'Allocator Summary'!$A$8:$A$28))*$E426</f>
        <v>0</v>
      </c>
      <c r="Q426" s="64">
        <f>INDEX('Allocator Summary'!L$8:L$28,MATCH($F426,'Allocator Summary'!$A$8:$A$28))*$E426</f>
        <v>0</v>
      </c>
      <c r="R426" s="64">
        <f t="shared" ref="R426:R436" si="150">SUM(H426:Q426)</f>
        <v>77004.336964833274</v>
      </c>
      <c r="S426" s="64">
        <f t="shared" ref="S426:S436" si="151">R426-E426</f>
        <v>0</v>
      </c>
    </row>
    <row r="427" spans="3:19" x14ac:dyDescent="0.25">
      <c r="C427" s="247" t="s">
        <v>8210</v>
      </c>
      <c r="E427" s="306">
        <f>LinkFromRateBase!G104</f>
        <v>4038217.424067521</v>
      </c>
      <c r="F427" s="36" t="s">
        <v>2211</v>
      </c>
      <c r="G427" t="str">
        <f>INDEX('Allocator Summary'!$B$8:$B$28,MATCH($F427,'Allocator Summary'!$A$8:$A$28))</f>
        <v>Mains</v>
      </c>
      <c r="H427" s="64">
        <f>INDEX('Allocator Summary'!C$8:C$28,MATCH($F427,'Allocator Summary'!$A$8:$A$28))*$E427</f>
        <v>0</v>
      </c>
      <c r="I427" s="64">
        <f>INDEX('Allocator Summary'!D$8:D$28,MATCH($F427,'Allocator Summary'!$A$8:$A$28))*$E427</f>
        <v>0</v>
      </c>
      <c r="J427" s="64">
        <f>INDEX('Allocator Summary'!E$8:E$28,MATCH($F427,'Allocator Summary'!$A$8:$A$28))*$E427</f>
        <v>0</v>
      </c>
      <c r="K427" s="64">
        <f>INDEX('Allocator Summary'!F$8:F$28,MATCH($F427,'Allocator Summary'!$A$8:$A$28))*$E427</f>
        <v>1000202.4378202193</v>
      </c>
      <c r="L427" s="64">
        <f>INDEX('Allocator Summary'!G$8:G$28,MATCH($F427,'Allocator Summary'!$A$8:$A$28))*$E427</f>
        <v>3038014.986247302</v>
      </c>
      <c r="M427" s="64">
        <f>INDEX('Allocator Summary'!H$8:H$28,MATCH($F427,'Allocator Summary'!$A$8:$A$28))*$E427</f>
        <v>0</v>
      </c>
      <c r="N427" s="64">
        <f>INDEX('Allocator Summary'!I$8:I$28,MATCH($F427,'Allocator Summary'!$A$8:$A$28))*$E427</f>
        <v>0</v>
      </c>
      <c r="O427" s="64">
        <f>INDEX('Allocator Summary'!J$8:J$26,MATCH($F427,'Allocator Summary'!$A$8:$A$28))*$E427</f>
        <v>0</v>
      </c>
      <c r="P427" s="64">
        <f>INDEX('Allocator Summary'!K$8:K$26,MATCH($F427,'Allocator Summary'!$A$8:$A$28))*$E427</f>
        <v>0</v>
      </c>
      <c r="Q427" s="64">
        <f>INDEX('Allocator Summary'!L$8:L$28,MATCH($F427,'Allocator Summary'!$A$8:$A$28))*$E427</f>
        <v>0</v>
      </c>
      <c r="R427" s="64">
        <f t="shared" si="150"/>
        <v>4038217.4240675215</v>
      </c>
      <c r="S427" s="64">
        <f t="shared" si="151"/>
        <v>0</v>
      </c>
    </row>
    <row r="428" spans="3:19" x14ac:dyDescent="0.25">
      <c r="C428" s="247" t="s">
        <v>8211</v>
      </c>
      <c r="E428" s="306">
        <f>LinkFromRateBase!G105</f>
        <v>285715.20092744258</v>
      </c>
      <c r="F428" s="36" t="s">
        <v>2211</v>
      </c>
      <c r="G428" t="str">
        <f>INDEX('Allocator Summary'!$B$8:$B$28,MATCH($F428,'Allocator Summary'!$A$8:$A$28))</f>
        <v>Mains</v>
      </c>
      <c r="H428" s="64">
        <f>INDEX('Allocator Summary'!C$8:C$28,MATCH($F428,'Allocator Summary'!$A$8:$A$28))*$E428</f>
        <v>0</v>
      </c>
      <c r="I428" s="64">
        <f>INDEX('Allocator Summary'!D$8:D$28,MATCH($F428,'Allocator Summary'!$A$8:$A$28))*$E428</f>
        <v>0</v>
      </c>
      <c r="J428" s="64">
        <f>INDEX('Allocator Summary'!E$8:E$28,MATCH($F428,'Allocator Summary'!$A$8:$A$28))*$E428</f>
        <v>0</v>
      </c>
      <c r="K428" s="64">
        <f>INDEX('Allocator Summary'!F$8:F$28,MATCH($F428,'Allocator Summary'!$A$8:$A$28))*$E428</f>
        <v>70767.125808217403</v>
      </c>
      <c r="L428" s="64">
        <f>INDEX('Allocator Summary'!G$8:G$28,MATCH($F428,'Allocator Summary'!$A$8:$A$28))*$E428</f>
        <v>214948.07511922519</v>
      </c>
      <c r="M428" s="64">
        <f>INDEX('Allocator Summary'!H$8:H$28,MATCH($F428,'Allocator Summary'!$A$8:$A$28))*$E428</f>
        <v>0</v>
      </c>
      <c r="N428" s="64">
        <f>INDEX('Allocator Summary'!I$8:I$28,MATCH($F428,'Allocator Summary'!$A$8:$A$28))*$E428</f>
        <v>0</v>
      </c>
      <c r="O428" s="64">
        <f>INDEX('Allocator Summary'!J$8:J$26,MATCH($F428,'Allocator Summary'!$A$8:$A$28))*$E428</f>
        <v>0</v>
      </c>
      <c r="P428" s="64">
        <f>INDEX('Allocator Summary'!K$8:K$26,MATCH($F428,'Allocator Summary'!$A$8:$A$28))*$E428</f>
        <v>0</v>
      </c>
      <c r="Q428" s="64">
        <f>INDEX('Allocator Summary'!L$8:L$28,MATCH($F428,'Allocator Summary'!$A$8:$A$28))*$E428</f>
        <v>0</v>
      </c>
      <c r="R428" s="64">
        <f t="shared" si="150"/>
        <v>285715.20092744258</v>
      </c>
      <c r="S428" s="64">
        <f t="shared" si="151"/>
        <v>0</v>
      </c>
    </row>
    <row r="429" spans="3:19" x14ac:dyDescent="0.25">
      <c r="C429" s="247" t="s">
        <v>8212</v>
      </c>
      <c r="E429" s="306">
        <f>LinkFromRateBase!G106</f>
        <v>448326.6550308367</v>
      </c>
      <c r="F429" s="36" t="s">
        <v>2211</v>
      </c>
      <c r="G429" t="str">
        <f>INDEX('Allocator Summary'!$B$8:$B$28,MATCH($F429,'Allocator Summary'!$A$8:$A$28))</f>
        <v>Mains</v>
      </c>
      <c r="H429" s="64">
        <f>INDEX('Allocator Summary'!C$8:C$28,MATCH($F429,'Allocator Summary'!$A$8:$A$28))*$E429</f>
        <v>0</v>
      </c>
      <c r="I429" s="64">
        <f>INDEX('Allocator Summary'!D$8:D$28,MATCH($F429,'Allocator Summary'!$A$8:$A$28))*$E429</f>
        <v>0</v>
      </c>
      <c r="J429" s="64">
        <f>INDEX('Allocator Summary'!E$8:E$28,MATCH($F429,'Allocator Summary'!$A$8:$A$28))*$E429</f>
        <v>0</v>
      </c>
      <c r="K429" s="64">
        <f>INDEX('Allocator Summary'!F$8:F$28,MATCH($F429,'Allocator Summary'!$A$8:$A$28))*$E429</f>
        <v>111043.4050997571</v>
      </c>
      <c r="L429" s="64">
        <f>INDEX('Allocator Summary'!G$8:G$28,MATCH($F429,'Allocator Summary'!$A$8:$A$28))*$E429</f>
        <v>337283.24993107963</v>
      </c>
      <c r="M429" s="64">
        <f>INDEX('Allocator Summary'!H$8:H$28,MATCH($F429,'Allocator Summary'!$A$8:$A$28))*$E429</f>
        <v>0</v>
      </c>
      <c r="N429" s="64">
        <f>INDEX('Allocator Summary'!I$8:I$28,MATCH($F429,'Allocator Summary'!$A$8:$A$28))*$E429</f>
        <v>0</v>
      </c>
      <c r="O429" s="64">
        <f>INDEX('Allocator Summary'!J$8:J$26,MATCH($F429,'Allocator Summary'!$A$8:$A$28))*$E429</f>
        <v>0</v>
      </c>
      <c r="P429" s="64">
        <f>INDEX('Allocator Summary'!K$8:K$26,MATCH($F429,'Allocator Summary'!$A$8:$A$28))*$E429</f>
        <v>0</v>
      </c>
      <c r="Q429" s="64">
        <f>INDEX('Allocator Summary'!L$8:L$28,MATCH($F429,'Allocator Summary'!$A$8:$A$28))*$E429</f>
        <v>0</v>
      </c>
      <c r="R429" s="64">
        <f t="shared" si="150"/>
        <v>448326.6550308367</v>
      </c>
      <c r="S429" s="64">
        <f t="shared" si="151"/>
        <v>0</v>
      </c>
    </row>
    <row r="430" spans="3:19" x14ac:dyDescent="0.25">
      <c r="C430" s="247" t="s">
        <v>8213</v>
      </c>
      <c r="E430" s="306">
        <f>LinkFromRateBase!G107</f>
        <v>25025.603323573279</v>
      </c>
      <c r="F430" s="36" t="s">
        <v>7009</v>
      </c>
      <c r="G430" t="str">
        <f>INDEX('Allocator Summary'!$B$8:$B$28,MATCH($F430,'Allocator Summary'!$A$8:$A$28))</f>
        <v>Hydrants</v>
      </c>
      <c r="H430" s="64">
        <f>INDEX('Allocator Summary'!C$8:C$28,MATCH($F430,'Allocator Summary'!$A$8:$A$28))*$E430</f>
        <v>0</v>
      </c>
      <c r="I430" s="64">
        <f>INDEX('Allocator Summary'!D$8:D$28,MATCH($F430,'Allocator Summary'!$A$8:$A$28))*$E430</f>
        <v>0</v>
      </c>
      <c r="J430" s="64">
        <f>INDEX('Allocator Summary'!E$8:E$28,MATCH($F430,'Allocator Summary'!$A$8:$A$28))*$E430</f>
        <v>0</v>
      </c>
      <c r="K430" s="64">
        <f>INDEX('Allocator Summary'!F$8:F$28,MATCH($F430,'Allocator Summary'!$A$8:$A$28))*$E430</f>
        <v>0</v>
      </c>
      <c r="L430" s="64">
        <f>INDEX('Allocator Summary'!G$8:G$28,MATCH($F430,'Allocator Summary'!$A$8:$A$28))*$E430</f>
        <v>0</v>
      </c>
      <c r="M430" s="64">
        <f>INDEX('Allocator Summary'!H$8:H$28,MATCH($F430,'Allocator Summary'!$A$8:$A$28))*$E430</f>
        <v>0</v>
      </c>
      <c r="N430" s="64">
        <f>INDEX('Allocator Summary'!I$8:I$28,MATCH($F430,'Allocator Summary'!$A$8:$A$28))*$E430</f>
        <v>0</v>
      </c>
      <c r="O430" s="64">
        <f>INDEX('Allocator Summary'!J$8:J$26,MATCH($F430,'Allocator Summary'!$A$8:$A$28))*$E430</f>
        <v>0</v>
      </c>
      <c r="P430" s="64">
        <f>INDEX('Allocator Summary'!K$8:K$26,MATCH($F430,'Allocator Summary'!$A$8:$A$28))*$E430</f>
        <v>0</v>
      </c>
      <c r="Q430" s="64">
        <f>INDEX('Allocator Summary'!L$8:L$28,MATCH($F430,'Allocator Summary'!$A$8:$A$28))*$E430</f>
        <v>25025.603323573279</v>
      </c>
      <c r="R430" s="64">
        <f t="shared" si="150"/>
        <v>25025.603323573279</v>
      </c>
      <c r="S430" s="64">
        <f t="shared" si="151"/>
        <v>0</v>
      </c>
    </row>
    <row r="431" spans="3:19" x14ac:dyDescent="0.25">
      <c r="C431" s="247" t="s">
        <v>8214</v>
      </c>
      <c r="E431" s="306">
        <f>LinkFromRateBase!G108</f>
        <v>0</v>
      </c>
      <c r="F431" s="36" t="s">
        <v>7009</v>
      </c>
      <c r="G431" t="str">
        <f>INDEX('Allocator Summary'!$B$8:$B$28,MATCH($F431,'Allocator Summary'!$A$8:$A$28))</f>
        <v>Hydrants</v>
      </c>
      <c r="H431" s="64">
        <f>INDEX('Allocator Summary'!C$8:C$28,MATCH($F431,'Allocator Summary'!$A$8:$A$28))*$E431</f>
        <v>0</v>
      </c>
      <c r="I431" s="64">
        <f>INDEX('Allocator Summary'!D$8:D$28,MATCH($F431,'Allocator Summary'!$A$8:$A$28))*$E431</f>
        <v>0</v>
      </c>
      <c r="J431" s="64">
        <f>INDEX('Allocator Summary'!E$8:E$28,MATCH($F431,'Allocator Summary'!$A$8:$A$28))*$E431</f>
        <v>0</v>
      </c>
      <c r="K431" s="64">
        <f>INDEX('Allocator Summary'!F$8:F$28,MATCH($F431,'Allocator Summary'!$A$8:$A$28))*$E431</f>
        <v>0</v>
      </c>
      <c r="L431" s="64">
        <f>INDEX('Allocator Summary'!G$8:G$28,MATCH($F431,'Allocator Summary'!$A$8:$A$28))*$E431</f>
        <v>0</v>
      </c>
      <c r="M431" s="64">
        <f>INDEX('Allocator Summary'!H$8:H$28,MATCH($F431,'Allocator Summary'!$A$8:$A$28))*$E431</f>
        <v>0</v>
      </c>
      <c r="N431" s="64">
        <f>INDEX('Allocator Summary'!I$8:I$28,MATCH($F431,'Allocator Summary'!$A$8:$A$28))*$E431</f>
        <v>0</v>
      </c>
      <c r="O431" s="64">
        <f>INDEX('Allocator Summary'!J$8:J$26,MATCH($F431,'Allocator Summary'!$A$8:$A$28))*$E431</f>
        <v>0</v>
      </c>
      <c r="P431" s="64">
        <f>INDEX('Allocator Summary'!K$8:K$26,MATCH($F431,'Allocator Summary'!$A$8:$A$28))*$E431</f>
        <v>0</v>
      </c>
      <c r="Q431" s="64">
        <f>INDEX('Allocator Summary'!L$8:L$28,MATCH($F431,'Allocator Summary'!$A$8:$A$28))*$E431</f>
        <v>0</v>
      </c>
      <c r="R431" s="64">
        <f t="shared" si="150"/>
        <v>0</v>
      </c>
      <c r="S431" s="64">
        <f t="shared" si="151"/>
        <v>0</v>
      </c>
    </row>
    <row r="432" spans="3:19" x14ac:dyDescent="0.25">
      <c r="C432" s="247" t="s">
        <v>8215</v>
      </c>
      <c r="E432" s="306">
        <f>LinkFromRateBase!G109</f>
        <v>11513.858964837351</v>
      </c>
      <c r="F432" s="36" t="s">
        <v>2211</v>
      </c>
      <c r="G432" t="str">
        <f>INDEX('Allocator Summary'!$B$8:$B$28,MATCH($F432,'Allocator Summary'!$A$8:$A$28))</f>
        <v>Mains</v>
      </c>
      <c r="H432" s="64">
        <f>INDEX('Allocator Summary'!C$8:C$28,MATCH($F432,'Allocator Summary'!$A$8:$A$28))*$E432</f>
        <v>0</v>
      </c>
      <c r="I432" s="64">
        <f>INDEX('Allocator Summary'!D$8:D$28,MATCH($F432,'Allocator Summary'!$A$8:$A$28))*$E432</f>
        <v>0</v>
      </c>
      <c r="J432" s="64">
        <f>INDEX('Allocator Summary'!E$8:E$28,MATCH($F432,'Allocator Summary'!$A$8:$A$28))*$E432</f>
        <v>0</v>
      </c>
      <c r="K432" s="64">
        <f>INDEX('Allocator Summary'!F$8:F$28,MATCH($F432,'Allocator Summary'!$A$8:$A$28))*$E432</f>
        <v>2851.8003356413501</v>
      </c>
      <c r="L432" s="64">
        <f>INDEX('Allocator Summary'!G$8:G$28,MATCH($F432,'Allocator Summary'!$A$8:$A$28))*$E432</f>
        <v>8662.0586291960008</v>
      </c>
      <c r="M432" s="64">
        <f>INDEX('Allocator Summary'!H$8:H$28,MATCH($F432,'Allocator Summary'!$A$8:$A$28))*$E432</f>
        <v>0</v>
      </c>
      <c r="N432" s="64">
        <f>INDEX('Allocator Summary'!I$8:I$28,MATCH($F432,'Allocator Summary'!$A$8:$A$28))*$E432</f>
        <v>0</v>
      </c>
      <c r="O432" s="64">
        <f>INDEX('Allocator Summary'!J$8:J$26,MATCH($F432,'Allocator Summary'!$A$8:$A$28))*$E432</f>
        <v>0</v>
      </c>
      <c r="P432" s="64">
        <f>INDEX('Allocator Summary'!K$8:K$26,MATCH($F432,'Allocator Summary'!$A$8:$A$28))*$E432</f>
        <v>0</v>
      </c>
      <c r="Q432" s="64">
        <f>INDEX('Allocator Summary'!L$8:L$28,MATCH($F432,'Allocator Summary'!$A$8:$A$28))*$E432</f>
        <v>0</v>
      </c>
      <c r="R432" s="64">
        <f t="shared" si="150"/>
        <v>11513.858964837351</v>
      </c>
      <c r="S432" s="64">
        <f t="shared" si="151"/>
        <v>0</v>
      </c>
    </row>
    <row r="433" spans="1:19" x14ac:dyDescent="0.25">
      <c r="C433" s="247" t="s">
        <v>8216</v>
      </c>
      <c r="E433" s="306">
        <f>LinkFromRateBase!G110</f>
        <v>197176.48379783463</v>
      </c>
      <c r="F433" s="36" t="s">
        <v>2211</v>
      </c>
      <c r="G433" t="str">
        <f>INDEX('Allocator Summary'!$B$8:$B$28,MATCH($F433,'Allocator Summary'!$A$8:$A$28))</f>
        <v>Mains</v>
      </c>
      <c r="H433" s="64">
        <f>INDEX('Allocator Summary'!C$8:C$28,MATCH($F433,'Allocator Summary'!$A$8:$A$28))*$E433</f>
        <v>0</v>
      </c>
      <c r="I433" s="64">
        <f>INDEX('Allocator Summary'!D$8:D$28,MATCH($F433,'Allocator Summary'!$A$8:$A$28))*$E433</f>
        <v>0</v>
      </c>
      <c r="J433" s="64">
        <f>INDEX('Allocator Summary'!E$8:E$28,MATCH($F433,'Allocator Summary'!$A$8:$A$28))*$E433</f>
        <v>0</v>
      </c>
      <c r="K433" s="64">
        <f>INDEX('Allocator Summary'!F$8:F$28,MATCH($F433,'Allocator Summary'!$A$8:$A$28))*$E433</f>
        <v>48837.489185207283</v>
      </c>
      <c r="L433" s="64">
        <f>INDEX('Allocator Summary'!G$8:G$28,MATCH($F433,'Allocator Summary'!$A$8:$A$28))*$E433</f>
        <v>148338.99461262734</v>
      </c>
      <c r="M433" s="64">
        <f>INDEX('Allocator Summary'!H$8:H$28,MATCH($F433,'Allocator Summary'!$A$8:$A$28))*$E433</f>
        <v>0</v>
      </c>
      <c r="N433" s="64">
        <f>INDEX('Allocator Summary'!I$8:I$28,MATCH($F433,'Allocator Summary'!$A$8:$A$28))*$E433</f>
        <v>0</v>
      </c>
      <c r="O433" s="64">
        <f>INDEX('Allocator Summary'!J$8:J$26,MATCH($F433,'Allocator Summary'!$A$8:$A$28))*$E433</f>
        <v>0</v>
      </c>
      <c r="P433" s="64">
        <f>INDEX('Allocator Summary'!K$8:K$26,MATCH($F433,'Allocator Summary'!$A$8:$A$28))*$E433</f>
        <v>0</v>
      </c>
      <c r="Q433" s="64">
        <f>INDEX('Allocator Summary'!L$8:L$28,MATCH($F433,'Allocator Summary'!$A$8:$A$28))*$E433</f>
        <v>0</v>
      </c>
      <c r="R433" s="64">
        <f t="shared" si="150"/>
        <v>197176.48379783463</v>
      </c>
      <c r="S433" s="64">
        <f t="shared" si="151"/>
        <v>0</v>
      </c>
    </row>
    <row r="434" spans="1:19" x14ac:dyDescent="0.25">
      <c r="C434" s="247" t="s">
        <v>8217</v>
      </c>
      <c r="E434" s="306">
        <f>LinkFromRateBase!G111</f>
        <v>5162.5475842338828</v>
      </c>
      <c r="F434" s="36" t="s">
        <v>7010</v>
      </c>
      <c r="G434" t="str">
        <f>INDEX('Allocator Summary'!$B$8:$B$28,MATCH($F434,'Allocator Summary'!$A$8:$A$28))</f>
        <v>Services</v>
      </c>
      <c r="H434" s="64">
        <f>INDEX('Allocator Summary'!C$8:C$28,MATCH($F434,'Allocator Summary'!$A$8:$A$28))*$E434</f>
        <v>0</v>
      </c>
      <c r="I434" s="64">
        <f>INDEX('Allocator Summary'!D$8:D$28,MATCH($F434,'Allocator Summary'!$A$8:$A$28))*$E434</f>
        <v>0</v>
      </c>
      <c r="J434" s="64">
        <f>INDEX('Allocator Summary'!E$8:E$28,MATCH($F434,'Allocator Summary'!$A$8:$A$28))*$E434</f>
        <v>0</v>
      </c>
      <c r="K434" s="64">
        <f>INDEX('Allocator Summary'!F$8:F$28,MATCH($F434,'Allocator Summary'!$A$8:$A$28))*$E434</f>
        <v>0</v>
      </c>
      <c r="L434" s="64">
        <f>INDEX('Allocator Summary'!G$8:G$28,MATCH($F434,'Allocator Summary'!$A$8:$A$28))*$E434</f>
        <v>0</v>
      </c>
      <c r="M434" s="64">
        <f>INDEX('Allocator Summary'!H$8:H$28,MATCH($F434,'Allocator Summary'!$A$8:$A$28))*$E434</f>
        <v>0</v>
      </c>
      <c r="N434" s="64">
        <f>INDEX('Allocator Summary'!I$8:I$28,MATCH($F434,'Allocator Summary'!$A$8:$A$28))*$E434</f>
        <v>0</v>
      </c>
      <c r="O434" s="64">
        <f>INDEX('Allocator Summary'!J$8:J$26,MATCH($F434,'Allocator Summary'!$A$8:$A$28))*$E434</f>
        <v>5162.5475842338828</v>
      </c>
      <c r="P434" s="64">
        <f>INDEX('Allocator Summary'!K$8:K$26,MATCH($F434,'Allocator Summary'!$A$8:$A$28))*$E434</f>
        <v>0</v>
      </c>
      <c r="Q434" s="64">
        <f>INDEX('Allocator Summary'!L$8:L$28,MATCH($F434,'Allocator Summary'!$A$8:$A$28))*$E434</f>
        <v>0</v>
      </c>
      <c r="R434" s="64">
        <f t="shared" si="150"/>
        <v>5162.5475842338828</v>
      </c>
      <c r="S434" s="64">
        <f t="shared" si="151"/>
        <v>0</v>
      </c>
    </row>
    <row r="435" spans="1:19" x14ac:dyDescent="0.25">
      <c r="C435" s="247" t="s">
        <v>8218</v>
      </c>
      <c r="E435" s="306">
        <f>LinkFromRateBase!G112</f>
        <v>25025.603323573279</v>
      </c>
      <c r="F435" s="36" t="s">
        <v>2211</v>
      </c>
      <c r="G435" t="str">
        <f>INDEX('Allocator Summary'!$B$8:$B$28,MATCH($F435,'Allocator Summary'!$A$8:$A$28))</f>
        <v>Mains</v>
      </c>
      <c r="H435" s="64">
        <f>INDEX('Allocator Summary'!C$8:C$28,MATCH($F435,'Allocator Summary'!$A$8:$A$28))*$E435</f>
        <v>0</v>
      </c>
      <c r="I435" s="64">
        <f>INDEX('Allocator Summary'!D$8:D$28,MATCH($F435,'Allocator Summary'!$A$8:$A$28))*$E435</f>
        <v>0</v>
      </c>
      <c r="J435" s="64">
        <f>INDEX('Allocator Summary'!E$8:E$28,MATCH($F435,'Allocator Summary'!$A$8:$A$28))*$E435</f>
        <v>0</v>
      </c>
      <c r="K435" s="64">
        <f>INDEX('Allocator Summary'!F$8:F$28,MATCH($F435,'Allocator Summary'!$A$8:$A$28))*$E435</f>
        <v>6198.4452107453562</v>
      </c>
      <c r="L435" s="64">
        <f>INDEX('Allocator Summary'!G$8:G$28,MATCH($F435,'Allocator Summary'!$A$8:$A$28))*$E435</f>
        <v>18827.158112827925</v>
      </c>
      <c r="M435" s="64">
        <f>INDEX('Allocator Summary'!H$8:H$28,MATCH($F435,'Allocator Summary'!$A$8:$A$28))*$E435</f>
        <v>0</v>
      </c>
      <c r="N435" s="64">
        <f>INDEX('Allocator Summary'!I$8:I$28,MATCH($F435,'Allocator Summary'!$A$8:$A$28))*$E435</f>
        <v>0</v>
      </c>
      <c r="O435" s="64">
        <f>INDEX('Allocator Summary'!J$8:J$26,MATCH($F435,'Allocator Summary'!$A$8:$A$28))*$E435</f>
        <v>0</v>
      </c>
      <c r="P435" s="64">
        <f>INDEX('Allocator Summary'!K$8:K$26,MATCH($F435,'Allocator Summary'!$A$8:$A$28))*$E435</f>
        <v>0</v>
      </c>
      <c r="Q435" s="64">
        <f>INDEX('Allocator Summary'!L$8:L$28,MATCH($F435,'Allocator Summary'!$A$8:$A$28))*$E435</f>
        <v>0</v>
      </c>
      <c r="R435" s="64">
        <f t="shared" si="150"/>
        <v>25025.603323573283</v>
      </c>
      <c r="S435" s="64">
        <f t="shared" si="151"/>
        <v>0</v>
      </c>
    </row>
    <row r="436" spans="1:19" x14ac:dyDescent="0.25">
      <c r="C436" t="s">
        <v>8219</v>
      </c>
      <c r="E436" s="306">
        <f>LinkFromRateBase!G113</f>
        <v>-1511264.7139846864</v>
      </c>
      <c r="F436" s="36" t="s">
        <v>2211</v>
      </c>
      <c r="G436" t="str">
        <f>INDEX('Allocator Summary'!$B$8:$B$28,MATCH($F436,'Allocator Summary'!$A$8:$A$28))</f>
        <v>Mains</v>
      </c>
      <c r="H436" s="64">
        <f>INDEX('Allocator Summary'!C$8:C$28,MATCH($F436,'Allocator Summary'!$A$8:$A$28))*$E436</f>
        <v>0</v>
      </c>
      <c r="I436" s="64">
        <f>INDEX('Allocator Summary'!D$8:D$28,MATCH($F436,'Allocator Summary'!$A$8:$A$28))*$E436</f>
        <v>0</v>
      </c>
      <c r="J436" s="64">
        <f>INDEX('Allocator Summary'!E$8:E$28,MATCH($F436,'Allocator Summary'!$A$8:$A$28))*$E436</f>
        <v>0</v>
      </c>
      <c r="K436" s="64">
        <f>INDEX('Allocator Summary'!F$8:F$28,MATCH($F436,'Allocator Summary'!$A$8:$A$28))*$E436</f>
        <v>-374316.31147701311</v>
      </c>
      <c r="L436" s="64">
        <f>INDEX('Allocator Summary'!G$8:G$28,MATCH($F436,'Allocator Summary'!$A$8:$A$28))*$E436</f>
        <v>-1136948.4025076733</v>
      </c>
      <c r="M436" s="64">
        <f>INDEX('Allocator Summary'!H$8:H$28,MATCH($F436,'Allocator Summary'!$A$8:$A$28))*$E436</f>
        <v>0</v>
      </c>
      <c r="N436" s="64">
        <f>INDEX('Allocator Summary'!I$8:I$28,MATCH($F436,'Allocator Summary'!$A$8:$A$28))*$E436</f>
        <v>0</v>
      </c>
      <c r="O436" s="64">
        <f>INDEX('Allocator Summary'!J$8:J$26,MATCH($F436,'Allocator Summary'!$A$8:$A$28))*$E436</f>
        <v>0</v>
      </c>
      <c r="P436" s="64">
        <f>INDEX('Allocator Summary'!K$8:K$26,MATCH($F436,'Allocator Summary'!$A$8:$A$28))*$E436</f>
        <v>0</v>
      </c>
      <c r="Q436" s="64">
        <f>INDEX('Allocator Summary'!L$8:L$28,MATCH($F436,'Allocator Summary'!$A$8:$A$28))*$E436</f>
        <v>0</v>
      </c>
      <c r="R436" s="64">
        <f t="shared" si="150"/>
        <v>-1511264.7139846864</v>
      </c>
      <c r="S436" s="64">
        <f t="shared" si="151"/>
        <v>0</v>
      </c>
    </row>
    <row r="437" spans="1:19" x14ac:dyDescent="0.25">
      <c r="B437" s="70"/>
      <c r="C437" t="s">
        <v>8141</v>
      </c>
      <c r="E437" s="306">
        <f>LinkFromRateBase!G116</f>
        <v>368047</v>
      </c>
      <c r="F437" s="36">
        <v>5</v>
      </c>
      <c r="G437" s="195" t="str">
        <f>INDEX('Allocator Summary'!$B$8:$B$28,MATCH($F437,'Allocator Summary'!$A$8:$A$28))</f>
        <v>Net Plant (less gen. and int.)</v>
      </c>
      <c r="H437" s="64">
        <f>INDEX('Allocator Summary'!C$8:C$28,MATCH($F437,'Allocator Summary'!$A$8:$A$28))*$E437</f>
        <v>8040.2523031658475</v>
      </c>
      <c r="I437" s="64">
        <f>INDEX('Allocator Summary'!D$8:D$28,MATCH($F437,'Allocator Summary'!$A$8:$A$28))*$E437</f>
        <v>21906.071572056026</v>
      </c>
      <c r="J437" s="64">
        <f>INDEX('Allocator Summary'!E$8:E$28,MATCH($F437,'Allocator Summary'!$A$8:$A$28))*$E437</f>
        <v>53615.971898670876</v>
      </c>
      <c r="K437" s="64">
        <f>INDEX('Allocator Summary'!F$8:F$28,MATCH($F437,'Allocator Summary'!$A$8:$A$28))*$E437</f>
        <v>75370.800714203055</v>
      </c>
      <c r="L437" s="64">
        <f>INDEX('Allocator Summary'!G$8:G$28,MATCH($F437,'Allocator Summary'!$A$8:$A$28))*$E437</f>
        <v>136775.84338307727</v>
      </c>
      <c r="M437" s="64">
        <f>INDEX('Allocator Summary'!H$8:H$28,MATCH($F437,'Allocator Summary'!$A$8:$A$28))*$E437</f>
        <v>12560.596119192503</v>
      </c>
      <c r="N437" s="64">
        <f>INDEX('Allocator Summary'!I$8:I$28,MATCH($F437,'Allocator Summary'!$A$8:$A$28))*$E437</f>
        <v>20343.637235609433</v>
      </c>
      <c r="O437" s="64">
        <f>INDEX('Allocator Summary'!J$8:J$26,MATCH($F437,'Allocator Summary'!$A$8:$A$28))*$E437</f>
        <v>7932.2139514608944</v>
      </c>
      <c r="P437" s="64">
        <f>INDEX('Allocator Summary'!K$8:K$26,MATCH($F437,'Allocator Summary'!$A$8:$A$28))*$E437</f>
        <v>6544.0505874763148</v>
      </c>
      <c r="Q437" s="64">
        <f>INDEX('Allocator Summary'!L$8:L$28,MATCH($F437,'Allocator Summary'!$A$8:$A$28))*$E437</f>
        <v>24957.562235087829</v>
      </c>
      <c r="R437" s="64">
        <f t="shared" ref="R437" si="152">SUM(H437:Q437)</f>
        <v>368047.00000000006</v>
      </c>
      <c r="S437" s="64">
        <f>R437-E437</f>
        <v>0</v>
      </c>
    </row>
    <row r="438" spans="1:19" x14ac:dyDescent="0.25">
      <c r="C438" t="s">
        <v>8142</v>
      </c>
      <c r="E438" s="306">
        <f>LinkFromRateBase!G117</f>
        <v>40362698</v>
      </c>
      <c r="F438" s="36">
        <v>5</v>
      </c>
      <c r="G438" t="str">
        <f>INDEX('Allocator Summary'!$B$8:$B$28,MATCH($F438,'Allocator Summary'!$A$8:$A$28))</f>
        <v>Net Plant (less gen. and int.)</v>
      </c>
      <c r="H438" s="64">
        <f>INDEX('Allocator Summary'!C$8:C$28,MATCH($F438,'Allocator Summary'!$A$8:$A$28))*$E438</f>
        <v>881752.26413063426</v>
      </c>
      <c r="I438" s="64">
        <f>INDEX('Allocator Summary'!D$8:D$28,MATCH($F438,'Allocator Summary'!$A$8:$A$28))*$E438</f>
        <v>2402378.3680597385</v>
      </c>
      <c r="J438" s="64">
        <f>INDEX('Allocator Summary'!E$8:E$28,MATCH($F438,'Allocator Summary'!$A$8:$A$28))*$E438</f>
        <v>5879915.5589436656</v>
      </c>
      <c r="K438" s="64">
        <f>INDEX('Allocator Summary'!F$8:F$28,MATCH($F438,'Allocator Summary'!$A$8:$A$28))*$E438</f>
        <v>8265707.5516049918</v>
      </c>
      <c r="L438" s="64">
        <f>INDEX('Allocator Summary'!G$8:G$28,MATCH($F438,'Allocator Summary'!$A$8:$A$28))*$E438</f>
        <v>14999828.989684593</v>
      </c>
      <c r="M438" s="64">
        <f>INDEX('Allocator Summary'!H$8:H$28,MATCH($F438,'Allocator Summary'!$A$8:$A$28))*$E438</f>
        <v>1377485.885930164</v>
      </c>
      <c r="N438" s="64">
        <f>INDEX('Allocator Summary'!I$8:I$28,MATCH($F438,'Allocator Summary'!$A$8:$A$28))*$E438</f>
        <v>2231030.5095883361</v>
      </c>
      <c r="O438" s="64">
        <f>INDEX('Allocator Summary'!J$8:J$26,MATCH($F438,'Allocator Summary'!$A$8:$A$28))*$E438</f>
        <v>869903.99648469547</v>
      </c>
      <c r="P438" s="64">
        <f>INDEX('Allocator Summary'!K$8:K$26,MATCH($F438,'Allocator Summary'!$A$8:$A$28))*$E438</f>
        <v>717667.95425320428</v>
      </c>
      <c r="Q438" s="64">
        <f>INDEX('Allocator Summary'!L$8:L$28,MATCH($F438,'Allocator Summary'!$A$8:$A$28))*$E438</f>
        <v>2737026.9213199811</v>
      </c>
      <c r="R438" s="64">
        <f t="shared" ref="R438" si="153">SUM(H438:Q438)</f>
        <v>40362698.000000007</v>
      </c>
      <c r="S438" s="64">
        <f>R438-E438</f>
        <v>0</v>
      </c>
    </row>
    <row r="439" spans="1:19" x14ac:dyDescent="0.25">
      <c r="A439" s="66"/>
      <c r="B439" s="66"/>
      <c r="C439" s="49" t="s">
        <v>8143</v>
      </c>
      <c r="D439" s="66"/>
      <c r="E439" s="306">
        <f>LinkFromRateBase!G118</f>
        <v>2585</v>
      </c>
      <c r="F439" s="75">
        <v>5</v>
      </c>
      <c r="G439" s="66" t="str">
        <f>INDEX('Allocator Summary'!$B$8:$B$28,MATCH($F439,'Allocator Summary'!$A$8:$A$28))</f>
        <v>Net Plant (less gen. and int.)</v>
      </c>
      <c r="H439" s="76">
        <f>INDEX('Allocator Summary'!C$8:C$28,MATCH($F439,'Allocator Summary'!$A$8:$A$28))*$E439</f>
        <v>56.471190374282948</v>
      </c>
      <c r="I439" s="76">
        <f>INDEX('Allocator Summary'!D$8:D$28,MATCH($F439,'Allocator Summary'!$A$8:$A$28))*$E439</f>
        <v>153.8585969013871</v>
      </c>
      <c r="J439" s="76">
        <f>INDEX('Allocator Summary'!E$8:E$28,MATCH($F439,'Allocator Summary'!$A$8:$A$28))*$E439</f>
        <v>376.57496830041873</v>
      </c>
      <c r="K439" s="76">
        <f>INDEX('Allocator Summary'!F$8:F$28,MATCH($F439,'Allocator Summary'!$A$8:$A$28))*$E439</f>
        <v>529.37130270377122</v>
      </c>
      <c r="L439" s="76">
        <f>INDEX('Allocator Summary'!G$8:G$28,MATCH($F439,'Allocator Summary'!$A$8:$A$28))*$E439</f>
        <v>960.65327293865926</v>
      </c>
      <c r="M439" s="76">
        <f>INDEX('Allocator Summary'!H$8:H$28,MATCH($F439,'Allocator Summary'!$A$8:$A$28))*$E439</f>
        <v>88.220094086115694</v>
      </c>
      <c r="N439" s="76">
        <f>INDEX('Allocator Summary'!I$8:I$28,MATCH($F439,'Allocator Summary'!$A$8:$A$28))*$E439</f>
        <v>142.88474638850576</v>
      </c>
      <c r="O439" s="76">
        <f>INDEX('Allocator Summary'!J$8:J$26,MATCH($F439,'Allocator Summary'!$A$8:$A$28))*$E439</f>
        <v>55.71237658376895</v>
      </c>
      <c r="P439" s="76">
        <f>INDEX('Allocator Summary'!K$8:K$26,MATCH($F439,'Allocator Summary'!$A$8:$A$28))*$E439</f>
        <v>45.962528613536513</v>
      </c>
      <c r="Q439" s="76">
        <f>INDEX('Allocator Summary'!L$8:L$28,MATCH($F439,'Allocator Summary'!$A$8:$A$28))*$E439</f>
        <v>175.29092310955406</v>
      </c>
      <c r="R439" s="76">
        <f t="shared" ref="R439" si="154">SUM(H439:Q439)</f>
        <v>2585.0000000000005</v>
      </c>
      <c r="S439" s="76">
        <f>R439-E439</f>
        <v>0</v>
      </c>
    </row>
    <row r="440" spans="1:19" x14ac:dyDescent="0.25">
      <c r="A440" s="71" t="s">
        <v>7030</v>
      </c>
      <c r="B440" s="100"/>
      <c r="C440" s="100"/>
      <c r="D440" s="71"/>
      <c r="E440" s="328">
        <f>SUM(E410:E439)</f>
        <v>52071633</v>
      </c>
      <c r="F440" s="74"/>
      <c r="G440" s="74"/>
      <c r="H440" s="101">
        <f t="shared" ref="H440:S440" si="155">SUM(H410:H439)</f>
        <v>889848.98762417433</v>
      </c>
      <c r="I440" s="101">
        <f t="shared" si="155"/>
        <v>2424438.298228696</v>
      </c>
      <c r="J440" s="101">
        <f t="shared" si="155"/>
        <v>5933908.1058106376</v>
      </c>
      <c r="K440" s="101">
        <f t="shared" si="155"/>
        <v>10997843.744810788</v>
      </c>
      <c r="L440" s="101">
        <f t="shared" si="155"/>
        <v>23205617.046951015</v>
      </c>
      <c r="M440" s="101">
        <f t="shared" si="155"/>
        <v>1390134.7021434426</v>
      </c>
      <c r="N440" s="101">
        <f t="shared" si="155"/>
        <v>2259410.7773278882</v>
      </c>
      <c r="O440" s="101">
        <f t="shared" si="155"/>
        <v>892999.41924726462</v>
      </c>
      <c r="P440" s="101">
        <f t="shared" si="155"/>
        <v>724257.96736929414</v>
      </c>
      <c r="Q440" s="101">
        <f t="shared" si="155"/>
        <v>3353173.950486803</v>
      </c>
      <c r="R440" s="101">
        <f t="shared" si="155"/>
        <v>52071633.000000007</v>
      </c>
      <c r="S440" s="101">
        <f t="shared" si="155"/>
        <v>0</v>
      </c>
    </row>
    <row r="442" spans="1:19" x14ac:dyDescent="0.25">
      <c r="C442" t="s">
        <v>8148</v>
      </c>
      <c r="E442" s="306">
        <f>+LinkFromRateBase!J74</f>
        <v>0</v>
      </c>
      <c r="F442" s="36">
        <v>5</v>
      </c>
      <c r="G442" t="str">
        <f>INDEX('Allocator Summary'!$B$8:$B$28,MATCH($F442,'Allocator Summary'!$A$8:$A$28))</f>
        <v>Net Plant (less gen. and int.)</v>
      </c>
      <c r="H442" s="64">
        <f>INDEX('Allocator Summary'!C$8:C$28,MATCH($F442,'Allocator Summary'!$A$8:$A$28))*$E442</f>
        <v>0</v>
      </c>
      <c r="I442" s="64">
        <f>INDEX('Allocator Summary'!D$8:D$28,MATCH($F442,'Allocator Summary'!$A$8:$A$28))*$E442</f>
        <v>0</v>
      </c>
      <c r="J442" s="64">
        <f>INDEX('Allocator Summary'!E$8:E$28,MATCH($F442,'Allocator Summary'!$A$8:$A$28))*$E442</f>
        <v>0</v>
      </c>
      <c r="K442" s="64">
        <f>INDEX('Allocator Summary'!F$8:F$28,MATCH($F442,'Allocator Summary'!$A$8:$A$28))*$E442</f>
        <v>0</v>
      </c>
      <c r="L442" s="64">
        <f>INDEX('Allocator Summary'!G$8:G$28,MATCH($F442,'Allocator Summary'!$A$8:$A$28))*$E442</f>
        <v>0</v>
      </c>
      <c r="M442" s="64">
        <f>INDEX('Allocator Summary'!H$8:H$28,MATCH($F442,'Allocator Summary'!$A$8:$A$28))*$E442</f>
        <v>0</v>
      </c>
      <c r="N442" s="64">
        <f>INDEX('Allocator Summary'!I$8:I$28,MATCH($F442,'Allocator Summary'!$A$8:$A$28))*$E442</f>
        <v>0</v>
      </c>
      <c r="O442" s="64">
        <f>INDEX('Allocator Summary'!J$8:J$26,MATCH($F442,'Allocator Summary'!$A$8:$A$28))*$E442</f>
        <v>0</v>
      </c>
      <c r="P442" s="64">
        <f>INDEX('Allocator Summary'!K$8:K$26,MATCH($F442,'Allocator Summary'!$A$8:$A$28))*$E442</f>
        <v>0</v>
      </c>
      <c r="Q442" s="64">
        <f>INDEX('Allocator Summary'!L$8:L$28,MATCH($F442,'Allocator Summary'!$A$8:$A$28))*$E442</f>
        <v>0</v>
      </c>
      <c r="R442" s="64">
        <f t="shared" ref="R442:R443" si="156">SUM(H442:Q442)</f>
        <v>0</v>
      </c>
      <c r="S442" s="64">
        <f>R442-E442</f>
        <v>0</v>
      </c>
    </row>
    <row r="443" spans="1:19" x14ac:dyDescent="0.25">
      <c r="C443" t="s">
        <v>8138</v>
      </c>
      <c r="E443" s="306">
        <f>+LinkFromRateBase!J75</f>
        <v>65746</v>
      </c>
      <c r="F443" s="36">
        <v>5</v>
      </c>
      <c r="G443" t="str">
        <f>INDEX('Allocator Summary'!$B$8:$B$28,MATCH($F443,'Allocator Summary'!$A$8:$A$28))</f>
        <v>Net Plant (less gen. and int.)</v>
      </c>
      <c r="H443" s="64">
        <f>INDEX('Allocator Summary'!C$8:C$28,MATCH($F443,'Allocator Summary'!$A$8:$A$28))*$E443</f>
        <v>1436.2688132872752</v>
      </c>
      <c r="I443" s="64">
        <f>INDEX('Allocator Summary'!D$8:D$28,MATCH($F443,'Allocator Summary'!$A$8:$A$28))*$E443</f>
        <v>3913.1865809975229</v>
      </c>
      <c r="J443" s="64">
        <f>INDEX('Allocator Summary'!E$8:E$28,MATCH($F443,'Allocator Summary'!$A$8:$A$28))*$E443</f>
        <v>9577.6780912492577</v>
      </c>
      <c r="K443" s="64">
        <f>INDEX('Allocator Summary'!F$8:F$28,MATCH($F443,'Allocator Summary'!$A$8:$A$28))*$E443</f>
        <v>13463.847453602377</v>
      </c>
      <c r="L443" s="64">
        <f>INDEX('Allocator Summary'!G$8:G$28,MATCH($F443,'Allocator Summary'!$A$8:$A$28))*$E443</f>
        <v>24432.924596760189</v>
      </c>
      <c r="M443" s="64">
        <f>INDEX('Allocator Summary'!H$8:H$28,MATCH($F443,'Allocator Summary'!$A$8:$A$28))*$E443</f>
        <v>2243.7594993368521</v>
      </c>
      <c r="N443" s="64">
        <f>INDEX('Allocator Summary'!I$8:I$28,MATCH($F443,'Allocator Summary'!$A$8:$A$28))*$E443</f>
        <v>3634.0814452838299</v>
      </c>
      <c r="O443" s="64">
        <f>INDEX('Allocator Summary'!J$8:J$26,MATCH($F443,'Allocator Summary'!$A$8:$A$28))*$E443</f>
        <v>1416.9694045943804</v>
      </c>
      <c r="P443" s="64">
        <f>INDEX('Allocator Summary'!K$8:K$26,MATCH($F443,'Allocator Summary'!$A$8:$A$28))*$E443</f>
        <v>1168.9951281336835</v>
      </c>
      <c r="Q443" s="64">
        <f>INDEX('Allocator Summary'!L$8:L$28,MATCH($F443,'Allocator Summary'!$A$8:$A$28))*$E443</f>
        <v>4458.2889867546382</v>
      </c>
      <c r="R443" s="64">
        <f t="shared" si="156"/>
        <v>65746.000000000015</v>
      </c>
      <c r="S443" s="64">
        <f>R443-E443</f>
        <v>0</v>
      </c>
    </row>
    <row r="445" spans="1:19" x14ac:dyDescent="0.25">
      <c r="A445" s="1" t="s">
        <v>7160</v>
      </c>
      <c r="B445" s="1"/>
      <c r="C445" s="1"/>
      <c r="D445" s="1"/>
      <c r="E445" s="307">
        <f>E401+E407-E440+E442+E443</f>
        <v>144712324</v>
      </c>
      <c r="F445" s="54"/>
      <c r="H445" s="82">
        <f t="shared" ref="H445:S445" si="157">H401+H407-H440+H442+H443</f>
        <v>3409936.2606139425</v>
      </c>
      <c r="I445" s="82">
        <f t="shared" si="157"/>
        <v>9057255.3531355839</v>
      </c>
      <c r="J445" s="82">
        <f t="shared" si="157"/>
        <v>22790729.397580061</v>
      </c>
      <c r="K445" s="82">
        <f t="shared" si="157"/>
        <v>29586520.486327931</v>
      </c>
      <c r="L445" s="82">
        <f t="shared" si="157"/>
        <v>50298456.595672309</v>
      </c>
      <c r="M445" s="82">
        <f t="shared" si="157"/>
        <v>5390885.8572565895</v>
      </c>
      <c r="N445" s="82">
        <f t="shared" si="157"/>
        <v>8687079.936641112</v>
      </c>
      <c r="O445" s="82">
        <f t="shared" si="157"/>
        <v>3382622.4771873448</v>
      </c>
      <c r="P445" s="82">
        <f t="shared" si="157"/>
        <v>2288380.6493024966</v>
      </c>
      <c r="Q445" s="82">
        <f t="shared" si="157"/>
        <v>9820456.9862826318</v>
      </c>
      <c r="R445" s="82">
        <f t="shared" si="157"/>
        <v>144712324</v>
      </c>
      <c r="S445" s="82">
        <f t="shared" si="157"/>
        <v>0</v>
      </c>
    </row>
    <row r="446" spans="1:19" x14ac:dyDescent="0.25">
      <c r="F446" s="54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</row>
    <row r="447" spans="1:19" x14ac:dyDescent="0.25">
      <c r="A447" s="1" t="s">
        <v>8234</v>
      </c>
      <c r="B447" s="1"/>
      <c r="C447" s="1"/>
      <c r="D447" s="1"/>
      <c r="E447" s="307">
        <f>+E445+E446</f>
        <v>144712324</v>
      </c>
      <c r="F447" s="54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</row>
    <row r="449" spans="4:18" x14ac:dyDescent="0.25">
      <c r="D449" s="70" t="s">
        <v>7031</v>
      </c>
      <c r="E449" s="329">
        <f>E83+E95+E108+E120</f>
        <v>288479</v>
      </c>
      <c r="F449" s="103">
        <v>1</v>
      </c>
      <c r="H449" s="102">
        <f t="shared" ref="H449:R449" si="158">H83+H95+H108+H120</f>
        <v>0</v>
      </c>
      <c r="I449" s="102">
        <f t="shared" si="158"/>
        <v>0</v>
      </c>
      <c r="J449" s="102">
        <f t="shared" si="158"/>
        <v>0</v>
      </c>
      <c r="K449" s="102">
        <f t="shared" si="158"/>
        <v>58976.312480433429</v>
      </c>
      <c r="L449" s="102">
        <f t="shared" si="158"/>
        <v>179134.65751956654</v>
      </c>
      <c r="M449" s="102">
        <f t="shared" si="158"/>
        <v>2532</v>
      </c>
      <c r="N449" s="102">
        <f t="shared" si="158"/>
        <v>47836.03</v>
      </c>
      <c r="O449" s="102">
        <f t="shared" si="158"/>
        <v>0</v>
      </c>
      <c r="P449" s="102">
        <f t="shared" si="158"/>
        <v>0</v>
      </c>
      <c r="Q449" s="102">
        <f t="shared" si="158"/>
        <v>0</v>
      </c>
      <c r="R449" s="102">
        <f t="shared" si="158"/>
        <v>288479</v>
      </c>
    </row>
    <row r="450" spans="4:18" x14ac:dyDescent="0.25">
      <c r="H450" s="104">
        <f>H449/$R449</f>
        <v>0</v>
      </c>
      <c r="I450" s="104">
        <f t="shared" ref="I450:R450" si="159">I449/$R449</f>
        <v>0</v>
      </c>
      <c r="J450" s="104">
        <f t="shared" si="159"/>
        <v>0</v>
      </c>
      <c r="K450" s="104">
        <f t="shared" si="159"/>
        <v>0.20443884123431316</v>
      </c>
      <c r="L450" s="104">
        <f t="shared" si="159"/>
        <v>0.6209625571343721</v>
      </c>
      <c r="M450" s="104">
        <f t="shared" si="159"/>
        <v>8.7770686947750091E-3</v>
      </c>
      <c r="N450" s="104">
        <f t="shared" si="159"/>
        <v>0.16582153293653956</v>
      </c>
      <c r="O450" s="104">
        <f t="shared" si="159"/>
        <v>0</v>
      </c>
      <c r="P450" s="104">
        <f t="shared" si="159"/>
        <v>0</v>
      </c>
      <c r="Q450" s="104">
        <f t="shared" si="159"/>
        <v>0</v>
      </c>
      <c r="R450" s="105">
        <f t="shared" si="159"/>
        <v>1</v>
      </c>
    </row>
    <row r="452" spans="4:18" x14ac:dyDescent="0.25">
      <c r="D452" s="70" t="s">
        <v>7032</v>
      </c>
      <c r="E452" s="329">
        <f>E87+E100+E113+E125+E133</f>
        <v>622569.56000000006</v>
      </c>
      <c r="F452" s="103">
        <v>2</v>
      </c>
      <c r="H452" s="102">
        <f t="shared" ref="H452:R452" si="160">H87+H100+H113+H125+H133</f>
        <v>0</v>
      </c>
      <c r="I452" s="102">
        <f t="shared" si="160"/>
        <v>0</v>
      </c>
      <c r="J452" s="102">
        <f t="shared" si="160"/>
        <v>0</v>
      </c>
      <c r="K452" s="102">
        <f t="shared" si="160"/>
        <v>72870.932431001449</v>
      </c>
      <c r="L452" s="102">
        <f t="shared" si="160"/>
        <v>221338.17756899854</v>
      </c>
      <c r="M452" s="102">
        <f t="shared" si="160"/>
        <v>0</v>
      </c>
      <c r="N452" s="102">
        <f t="shared" si="160"/>
        <v>0</v>
      </c>
      <c r="O452" s="102">
        <f t="shared" si="160"/>
        <v>8440.4500000000007</v>
      </c>
      <c r="P452" s="102">
        <f t="shared" si="160"/>
        <v>0</v>
      </c>
      <c r="Q452" s="102">
        <f t="shared" si="160"/>
        <v>319920</v>
      </c>
      <c r="R452" s="102">
        <f t="shared" si="160"/>
        <v>622569.56000000006</v>
      </c>
    </row>
    <row r="453" spans="4:18" x14ac:dyDescent="0.25">
      <c r="H453" s="104">
        <f>H452/$R452</f>
        <v>0</v>
      </c>
      <c r="I453" s="104">
        <f t="shared" ref="I453:R453" si="161">I452/$R452</f>
        <v>0</v>
      </c>
      <c r="J453" s="104">
        <f t="shared" si="161"/>
        <v>0</v>
      </c>
      <c r="K453" s="104">
        <f t="shared" si="161"/>
        <v>0.11704865947991649</v>
      </c>
      <c r="L453" s="104">
        <f t="shared" si="161"/>
        <v>0.35552361019545914</v>
      </c>
      <c r="M453" s="104">
        <f t="shared" si="161"/>
        <v>0</v>
      </c>
      <c r="N453" s="104">
        <f t="shared" si="161"/>
        <v>0</v>
      </c>
      <c r="O453" s="104">
        <f t="shared" si="161"/>
        <v>1.355744087455866E-2</v>
      </c>
      <c r="P453" s="104">
        <f t="shared" si="161"/>
        <v>0</v>
      </c>
      <c r="Q453" s="104">
        <f t="shared" si="161"/>
        <v>0.51387028945006563</v>
      </c>
      <c r="R453" s="105">
        <f t="shared" si="161"/>
        <v>1</v>
      </c>
    </row>
    <row r="455" spans="4:18" x14ac:dyDescent="0.25">
      <c r="D455" s="70" t="s">
        <v>7033</v>
      </c>
      <c r="E455" s="329">
        <f>E21+E39+E58+E78+E89+E102+E115+E127+E135+E149-E8-E25-E43-E44-E62</f>
        <v>6101791.200000002</v>
      </c>
      <c r="F455" s="103">
        <v>3</v>
      </c>
      <c r="G455" s="102"/>
      <c r="H455" s="102">
        <f t="shared" ref="H455:R455" si="162">H21+H39+H58+H78+H89+H102+H115+H127+H135+H149-H8-H25-H43-H44-H62</f>
        <v>130522</v>
      </c>
      <c r="I455" s="102">
        <f t="shared" si="162"/>
        <v>1077023.3600000001</v>
      </c>
      <c r="J455" s="102">
        <f t="shared" si="162"/>
        <v>710316.20000000019</v>
      </c>
      <c r="K455" s="102">
        <f t="shared" si="162"/>
        <v>365751.91575400991</v>
      </c>
      <c r="L455" s="102">
        <f t="shared" si="162"/>
        <v>1110934.9060685523</v>
      </c>
      <c r="M455" s="102">
        <f t="shared" si="162"/>
        <v>6501.9563801871191</v>
      </c>
      <c r="N455" s="102">
        <f t="shared" si="162"/>
        <v>122838.77585360286</v>
      </c>
      <c r="O455" s="102">
        <f t="shared" si="162"/>
        <v>24822.488778686835</v>
      </c>
      <c r="P455" s="102">
        <f t="shared" si="162"/>
        <v>1612228.0299999998</v>
      </c>
      <c r="Q455" s="102">
        <f t="shared" si="162"/>
        <v>940851.56716496067</v>
      </c>
      <c r="R455" s="102">
        <f t="shared" si="162"/>
        <v>6101791.200000002</v>
      </c>
    </row>
    <row r="456" spans="4:18" x14ac:dyDescent="0.25">
      <c r="H456" s="104">
        <f>H455/$R455</f>
        <v>2.1390768009236363E-2</v>
      </c>
      <c r="I456" s="104">
        <f t="shared" ref="I456:R456" si="163">I455/$R455</f>
        <v>0.17650937645981721</v>
      </c>
      <c r="J456" s="104">
        <f t="shared" si="163"/>
        <v>0.11641109581068587</v>
      </c>
      <c r="K456" s="104">
        <f t="shared" si="163"/>
        <v>5.9941729201420359E-2</v>
      </c>
      <c r="L456" s="104">
        <f t="shared" si="163"/>
        <v>0.18206701436597042</v>
      </c>
      <c r="M456" s="104">
        <f t="shared" si="163"/>
        <v>1.0655815918753687E-3</v>
      </c>
      <c r="N456" s="104">
        <f t="shared" si="163"/>
        <v>2.0131592810583687E-2</v>
      </c>
      <c r="O456" s="104">
        <f t="shared" si="163"/>
        <v>4.0680659113158163E-3</v>
      </c>
      <c r="P456" s="104">
        <f t="shared" si="163"/>
        <v>0.2642220910476254</v>
      </c>
      <c r="Q456" s="104">
        <f t="shared" si="163"/>
        <v>0.15419268479146916</v>
      </c>
      <c r="R456" s="105">
        <f t="shared" si="163"/>
        <v>1</v>
      </c>
    </row>
    <row r="458" spans="4:18" x14ac:dyDescent="0.25">
      <c r="D458" s="70" t="s">
        <v>2</v>
      </c>
      <c r="E458" s="329">
        <f>E17+E26+E35+E45+E54+E63+E74+E82+E85+E93+E98+E106+E111+E119+E123+E131+E138</f>
        <v>3833384.1999999997</v>
      </c>
      <c r="F458" s="103">
        <v>4</v>
      </c>
      <c r="H458" s="102">
        <f t="shared" ref="H458:R458" si="164">H17+H26+H35+H45+H54+H63+H74+H82+H85+H93+H98+H106+H111+H119+H123+H131+H138</f>
        <v>0</v>
      </c>
      <c r="I458" s="102">
        <f t="shared" si="164"/>
        <v>1043950.36</v>
      </c>
      <c r="J458" s="102">
        <f t="shared" si="164"/>
        <v>613245.20000000019</v>
      </c>
      <c r="K458" s="102">
        <f t="shared" si="164"/>
        <v>186431.74375842587</v>
      </c>
      <c r="L458" s="102">
        <f t="shared" si="164"/>
        <v>566267.79743174207</v>
      </c>
      <c r="M458" s="102">
        <f t="shared" si="164"/>
        <v>2908.0978324245434</v>
      </c>
      <c r="N458" s="102">
        <f t="shared" si="164"/>
        <v>102777.52097740736</v>
      </c>
      <c r="O458" s="102">
        <f t="shared" si="164"/>
        <v>8296.4500000000007</v>
      </c>
      <c r="P458" s="102">
        <f t="shared" si="164"/>
        <v>995695.02999999991</v>
      </c>
      <c r="Q458" s="102">
        <f t="shared" si="164"/>
        <v>313812</v>
      </c>
      <c r="R458" s="102">
        <f t="shared" si="164"/>
        <v>3833384.1999999997</v>
      </c>
    </row>
    <row r="459" spans="4:18" x14ac:dyDescent="0.25">
      <c r="E459" s="157"/>
      <c r="H459" s="104">
        <f>H458/$R458</f>
        <v>0</v>
      </c>
      <c r="I459" s="104">
        <f t="shared" ref="I459:R459" si="165">I458/$R458</f>
        <v>0.27233126280428666</v>
      </c>
      <c r="J459" s="104">
        <f t="shared" si="165"/>
        <v>0.15997488589847067</v>
      </c>
      <c r="K459" s="104">
        <f t="shared" si="165"/>
        <v>4.8633722588627012E-2</v>
      </c>
      <c r="L459" s="104">
        <f t="shared" si="165"/>
        <v>0.14772007393147343</v>
      </c>
      <c r="M459" s="104">
        <f t="shared" si="165"/>
        <v>7.5862415054158772E-4</v>
      </c>
      <c r="N459" s="104">
        <f t="shared" si="165"/>
        <v>2.6811171438909612E-2</v>
      </c>
      <c r="O459" s="104">
        <f t="shared" si="165"/>
        <v>2.1642625855243002E-3</v>
      </c>
      <c r="P459" s="104">
        <f t="shared" si="165"/>
        <v>0.25974308288743925</v>
      </c>
      <c r="Q459" s="104">
        <f t="shared" si="165"/>
        <v>8.1862913714727578E-2</v>
      </c>
      <c r="R459" s="105">
        <f t="shared" si="165"/>
        <v>1</v>
      </c>
    </row>
    <row r="461" spans="4:18" x14ac:dyDescent="0.25">
      <c r="D461" s="70" t="s">
        <v>6979</v>
      </c>
      <c r="E461" s="329">
        <f>SUM(E322:E400)</f>
        <v>197496275.5</v>
      </c>
      <c r="F461" s="103">
        <v>5</v>
      </c>
      <c r="H461" s="102">
        <f t="shared" ref="H461:R461" si="166">SUM(H322:H400)</f>
        <v>4314448.6545347515</v>
      </c>
      <c r="I461" s="102">
        <f t="shared" si="166"/>
        <v>11754932.240495086</v>
      </c>
      <c r="J461" s="102">
        <f t="shared" si="166"/>
        <v>28770659.066097975</v>
      </c>
      <c r="K461" s="102">
        <f t="shared" si="166"/>
        <v>40444433.516664565</v>
      </c>
      <c r="L461" s="102">
        <f t="shared" si="166"/>
        <v>73394755.687531963</v>
      </c>
      <c r="M461" s="102">
        <f t="shared" si="166"/>
        <v>6740092.8457514225</v>
      </c>
      <c r="N461" s="102">
        <f t="shared" si="166"/>
        <v>10916520.401350858</v>
      </c>
      <c r="O461" s="102">
        <f t="shared" si="166"/>
        <v>4256474.6129778652</v>
      </c>
      <c r="P461" s="102">
        <f t="shared" si="166"/>
        <v>3511577.6455457024</v>
      </c>
      <c r="Q461" s="102">
        <f t="shared" si="166"/>
        <v>13392380.829049826</v>
      </c>
      <c r="R461" s="102">
        <f t="shared" si="166"/>
        <v>197496275.5</v>
      </c>
    </row>
    <row r="462" spans="4:18" x14ac:dyDescent="0.25">
      <c r="H462" s="104">
        <f>H461/$R461</f>
        <v>2.184572161480965E-2</v>
      </c>
      <c r="I462" s="104">
        <f t="shared" ref="I462:R462" si="167">I461/$R461</f>
        <v>5.9519766692993081E-2</v>
      </c>
      <c r="J462" s="104">
        <f t="shared" si="167"/>
        <v>0.14567697032898211</v>
      </c>
      <c r="K462" s="104">
        <f t="shared" si="167"/>
        <v>0.2047858037538767</v>
      </c>
      <c r="L462" s="104">
        <f t="shared" si="167"/>
        <v>0.3716260243476438</v>
      </c>
      <c r="M462" s="104">
        <f t="shared" si="167"/>
        <v>3.4127695971418064E-2</v>
      </c>
      <c r="N462" s="104">
        <f t="shared" si="167"/>
        <v>5.527456339980881E-2</v>
      </c>
      <c r="O462" s="104">
        <f t="shared" si="167"/>
        <v>2.1552176628150465E-2</v>
      </c>
      <c r="P462" s="104">
        <f t="shared" si="167"/>
        <v>1.7780475285700779E-2</v>
      </c>
      <c r="Q462" s="104">
        <f t="shared" si="167"/>
        <v>6.7810801976616653E-2</v>
      </c>
      <c r="R462" s="105">
        <f t="shared" si="167"/>
        <v>1</v>
      </c>
    </row>
    <row r="464" spans="4:18" x14ac:dyDescent="0.25">
      <c r="D464" s="70" t="s">
        <v>6965</v>
      </c>
      <c r="E464" s="329">
        <f>E445</f>
        <v>144712324</v>
      </c>
      <c r="F464" s="103">
        <v>6</v>
      </c>
      <c r="H464" s="102">
        <f t="shared" ref="H464:R464" si="168">H445</f>
        <v>3409936.2606139425</v>
      </c>
      <c r="I464" s="102">
        <f t="shared" si="168"/>
        <v>9057255.3531355839</v>
      </c>
      <c r="J464" s="102">
        <f t="shared" si="168"/>
        <v>22790729.397580061</v>
      </c>
      <c r="K464" s="102">
        <f t="shared" si="168"/>
        <v>29586520.486327931</v>
      </c>
      <c r="L464" s="102">
        <f t="shared" si="168"/>
        <v>50298456.595672309</v>
      </c>
      <c r="M464" s="102">
        <f t="shared" si="168"/>
        <v>5390885.8572565895</v>
      </c>
      <c r="N464" s="102">
        <f t="shared" si="168"/>
        <v>8687079.936641112</v>
      </c>
      <c r="O464" s="102">
        <f t="shared" si="168"/>
        <v>3382622.4771873448</v>
      </c>
      <c r="P464" s="102">
        <f t="shared" si="168"/>
        <v>2288380.6493024966</v>
      </c>
      <c r="Q464" s="102">
        <f t="shared" si="168"/>
        <v>9820456.9862826318</v>
      </c>
      <c r="R464" s="102">
        <f t="shared" si="168"/>
        <v>144712324</v>
      </c>
    </row>
    <row r="465" spans="4:18" x14ac:dyDescent="0.25">
      <c r="H465" s="104">
        <f>H464/$R464</f>
        <v>2.3563551232954717E-2</v>
      </c>
      <c r="I465" s="104">
        <f t="shared" ref="I465:R465" si="169">I464/$R464</f>
        <v>6.2588002892798436E-2</v>
      </c>
      <c r="J465" s="104">
        <f t="shared" si="169"/>
        <v>0.15748989973777258</v>
      </c>
      <c r="K465" s="104">
        <f t="shared" si="169"/>
        <v>0.20445059320813569</v>
      </c>
      <c r="L465" s="104">
        <f t="shared" si="169"/>
        <v>0.34757548773573915</v>
      </c>
      <c r="M465" s="104">
        <f t="shared" si="169"/>
        <v>3.7252430948842959E-2</v>
      </c>
      <c r="N465" s="104">
        <f t="shared" si="169"/>
        <v>6.0029993966796577E-2</v>
      </c>
      <c r="O465" s="104">
        <f t="shared" si="169"/>
        <v>2.3374805847132581E-2</v>
      </c>
      <c r="P465" s="104">
        <f t="shared" si="169"/>
        <v>1.5813308680624163E-2</v>
      </c>
      <c r="Q465" s="104">
        <f t="shared" si="169"/>
        <v>6.7861925749203175E-2</v>
      </c>
      <c r="R465" s="105">
        <f t="shared" si="169"/>
        <v>1</v>
      </c>
    </row>
    <row r="467" spans="4:18" x14ac:dyDescent="0.25">
      <c r="D467" s="106" t="s">
        <v>7034</v>
      </c>
      <c r="E467" s="330">
        <f>E8+E25+E43+E44</f>
        <v>2788724.7815385228</v>
      </c>
      <c r="H467" s="107">
        <f t="shared" ref="H467:R467" si="170">H8+H25+H43+H44</f>
        <v>174784.38112377655</v>
      </c>
      <c r="I467" s="107">
        <f t="shared" si="170"/>
        <v>1058388.400414746</v>
      </c>
      <c r="J467" s="107">
        <f t="shared" si="170"/>
        <v>1555552</v>
      </c>
      <c r="K467" s="107">
        <f t="shared" si="170"/>
        <v>0</v>
      </c>
      <c r="L467" s="107">
        <f t="shared" si="170"/>
        <v>0</v>
      </c>
      <c r="M467" s="107">
        <f t="shared" si="170"/>
        <v>0</v>
      </c>
      <c r="N467" s="107">
        <f t="shared" si="170"/>
        <v>0</v>
      </c>
      <c r="O467" s="107">
        <f t="shared" si="170"/>
        <v>0</v>
      </c>
      <c r="P467" s="107">
        <f t="shared" si="170"/>
        <v>0</v>
      </c>
      <c r="Q467" s="107">
        <f t="shared" si="170"/>
        <v>0</v>
      </c>
      <c r="R467" s="107">
        <f t="shared" si="170"/>
        <v>2788724.7815385228</v>
      </c>
    </row>
  </sheetData>
  <printOptions horizontalCentered="1"/>
  <pageMargins left="0.7" right="0.7" top="1" bottom="0.5" header="0.3" footer="0.3"/>
  <pageSetup scale="38" fitToHeight="0" orientation="landscape" r:id="rId1"/>
  <headerFooter>
    <oddHeader>&amp;RSchedule CBR-1
NJAWC Class Cost of Service Study
Tab: &amp;A
Page &amp;P of &amp;N</oddHeader>
  </headerFooter>
  <rowBreaks count="1" manualBreakCount="1">
    <brk id="90" max="18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2:M56"/>
  <sheetViews>
    <sheetView zoomScale="80" zoomScaleNormal="80" zoomScaleSheetLayoutView="100" workbookViewId="0">
      <selection activeCell="B6" sqref="B6"/>
    </sheetView>
  </sheetViews>
  <sheetFormatPr defaultRowHeight="15" x14ac:dyDescent="0.25"/>
  <cols>
    <col min="1" max="1" customWidth="true" width="5.5703125" collapsed="false"/>
    <col min="2" max="2" customWidth="true" width="26.7109375" collapsed="false"/>
    <col min="3" max="3" customWidth="true" width="14.5703125" collapsed="false"/>
    <col min="4" max="6" customWidth="true" width="14.42578125" collapsed="false"/>
    <col min="7" max="9" customWidth="true" width="13.7109375" collapsed="false"/>
    <col min="10" max="10" customWidth="true" width="14.5703125" collapsed="false"/>
    <col min="11" max="11" customWidth="true" width="15.5703125" collapsed="false"/>
    <col min="13" max="13" customWidth="true" width="10.5703125" collapsed="false"/>
  </cols>
  <sheetData>
    <row r="2" spans="1:13" x14ac:dyDescent="0.25">
      <c r="A2" s="1" t="s">
        <v>7973</v>
      </c>
    </row>
    <row r="3" spans="1:13" x14ac:dyDescent="0.25">
      <c r="A3" s="1" t="s">
        <v>7103</v>
      </c>
    </row>
    <row r="4" spans="1:13" x14ac:dyDescent="0.25">
      <c r="C4" s="131"/>
      <c r="D4" s="131"/>
      <c r="E4" s="131"/>
      <c r="F4" s="131"/>
      <c r="G4" s="131"/>
      <c r="H4" s="131"/>
      <c r="I4" s="131"/>
    </row>
    <row r="5" spans="1:13" x14ac:dyDescent="0.25">
      <c r="C5" s="65"/>
      <c r="D5" s="65"/>
      <c r="E5" s="65"/>
      <c r="F5" s="65"/>
      <c r="G5" s="65"/>
      <c r="H5" s="65" t="s">
        <v>7042</v>
      </c>
      <c r="I5" s="65" t="s">
        <v>7043</v>
      </c>
    </row>
    <row r="6" spans="1:13" x14ac:dyDescent="0.25">
      <c r="A6" s="66"/>
      <c r="B6" s="66"/>
      <c r="C6" s="67" t="s">
        <v>65</v>
      </c>
      <c r="D6" s="67" t="s">
        <v>70</v>
      </c>
      <c r="E6" s="67" t="s">
        <v>66</v>
      </c>
      <c r="F6" s="67" t="s">
        <v>8124</v>
      </c>
      <c r="G6" s="67" t="s">
        <v>8125</v>
      </c>
      <c r="H6" s="67" t="s">
        <v>7044</v>
      </c>
      <c r="I6" s="67" t="s">
        <v>7044</v>
      </c>
      <c r="J6" s="68" t="s">
        <v>6996</v>
      </c>
    </row>
    <row r="7" spans="1:13" x14ac:dyDescent="0.25">
      <c r="A7" t="s">
        <v>7045</v>
      </c>
      <c r="C7" s="153">
        <f>+LinkFromRevenues!D11+LinkFromRevenues!D18+LinkFromRevenues!D31+LinkFromRevenues!D32</f>
        <v>2573224.0686081052</v>
      </c>
      <c r="D7" s="153">
        <f>+LinkFromRevenues!D12+LinkFromRevenues!D19</f>
        <v>1403576.736872077</v>
      </c>
      <c r="E7" s="153">
        <f>+LinkFromRevenues!D13</f>
        <v>879648.22897202766</v>
      </c>
      <c r="F7" s="153">
        <f>+LinkFromRevenues!D14+LinkFromRevenues!D20</f>
        <v>144104.87210658824</v>
      </c>
      <c r="G7" s="153">
        <f>+LinkFromRevenues!D15</f>
        <v>7398.8266376612646</v>
      </c>
      <c r="H7" s="279">
        <f>+LinkFromRevenues!D25</f>
        <v>0</v>
      </c>
      <c r="I7" s="279">
        <v>0</v>
      </c>
      <c r="J7" s="120">
        <f>SUM(C7:I7)</f>
        <v>5007952.7331964597</v>
      </c>
      <c r="K7" t="s">
        <v>7104</v>
      </c>
    </row>
    <row r="8" spans="1:13" x14ac:dyDescent="0.25">
      <c r="A8" t="s">
        <v>7105</v>
      </c>
      <c r="C8" s="119">
        <f t="shared" ref="C8:I8" si="0">C7/365</f>
        <v>7049.9289550906988</v>
      </c>
      <c r="D8" s="119">
        <f t="shared" si="0"/>
        <v>3845.4157174577454</v>
      </c>
      <c r="E8" s="119">
        <f t="shared" si="0"/>
        <v>2409.9951478685689</v>
      </c>
      <c r="F8" s="119">
        <f t="shared" si="0"/>
        <v>394.80786878517324</v>
      </c>
      <c r="G8" s="119">
        <f t="shared" si="0"/>
        <v>20.270757911400725</v>
      </c>
      <c r="H8" s="158">
        <f t="shared" si="0"/>
        <v>0</v>
      </c>
      <c r="I8" s="158">
        <f t="shared" si="0"/>
        <v>0</v>
      </c>
      <c r="J8" s="120">
        <f>SUM(C8:I8)</f>
        <v>13720.418447113589</v>
      </c>
      <c r="K8" t="s">
        <v>7104</v>
      </c>
      <c r="M8" s="124"/>
    </row>
    <row r="9" spans="1:13" x14ac:dyDescent="0.25">
      <c r="H9" s="195"/>
      <c r="I9" s="195"/>
    </row>
    <row r="10" spans="1:13" x14ac:dyDescent="0.25">
      <c r="A10" t="s">
        <v>7106</v>
      </c>
      <c r="C10" s="242">
        <v>1.6</v>
      </c>
      <c r="D10" s="242">
        <v>1.4</v>
      </c>
      <c r="E10" s="242">
        <v>1.2</v>
      </c>
      <c r="F10" s="242">
        <v>2</v>
      </c>
      <c r="G10" s="242">
        <v>1.7</v>
      </c>
      <c r="H10" s="280" t="s">
        <v>7107</v>
      </c>
      <c r="I10" s="280" t="s">
        <v>7107</v>
      </c>
      <c r="J10" s="243" t="s">
        <v>7107</v>
      </c>
    </row>
    <row r="11" spans="1:13" x14ac:dyDescent="0.25">
      <c r="A11" t="s">
        <v>7108</v>
      </c>
      <c r="C11" s="119">
        <f>C8*C10</f>
        <v>11279.886328145119</v>
      </c>
      <c r="D11" s="119">
        <f t="shared" ref="D11:G11" si="1">D8*D10</f>
        <v>5383.5820044408429</v>
      </c>
      <c r="E11" s="119">
        <f t="shared" si="1"/>
        <v>2891.9941774422828</v>
      </c>
      <c r="F11" s="119">
        <f t="shared" si="1"/>
        <v>789.61573757034648</v>
      </c>
      <c r="G11" s="119">
        <f t="shared" si="1"/>
        <v>34.460288449381231</v>
      </c>
      <c r="H11" s="245">
        <f>6900*H14</f>
        <v>1138.5</v>
      </c>
      <c r="I11" s="245">
        <f>6900*I14</f>
        <v>5761.5</v>
      </c>
      <c r="J11" s="120">
        <f>SUM(C11:I11)</f>
        <v>27279.538536047974</v>
      </c>
      <c r="K11" t="s">
        <v>7104</v>
      </c>
    </row>
    <row r="12" spans="1:13" x14ac:dyDescent="0.25">
      <c r="A12" t="s">
        <v>7069</v>
      </c>
      <c r="C12" s="120">
        <f>C11-C8</f>
        <v>4229.9573730544207</v>
      </c>
      <c r="D12" s="120">
        <f t="shared" ref="D12:I12" si="2">D11-D8</f>
        <v>1538.1662869830975</v>
      </c>
      <c r="E12" s="120">
        <f t="shared" si="2"/>
        <v>481.99902957371387</v>
      </c>
      <c r="F12" s="120">
        <f t="shared" si="2"/>
        <v>394.80786878517324</v>
      </c>
      <c r="G12" s="120">
        <f t="shared" si="2"/>
        <v>14.189530537980506</v>
      </c>
      <c r="H12" s="120">
        <f t="shared" si="2"/>
        <v>1138.5</v>
      </c>
      <c r="I12" s="120">
        <f t="shared" si="2"/>
        <v>5761.5</v>
      </c>
      <c r="J12" s="120">
        <f>SUM(C12:I12)</f>
        <v>13559.120088934385</v>
      </c>
      <c r="K12" t="s">
        <v>7104</v>
      </c>
    </row>
    <row r="14" spans="1:13" x14ac:dyDescent="0.25">
      <c r="A14" t="s">
        <v>7077</v>
      </c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1">
        <v>0.16500000000000001</v>
      </c>
      <c r="I14" s="241">
        <v>0.83499999999999996</v>
      </c>
      <c r="J14" s="127">
        <f>SUM(C14:I14)</f>
        <v>1</v>
      </c>
      <c r="K14" t="s">
        <v>8194</v>
      </c>
    </row>
    <row r="15" spans="1:13" x14ac:dyDescent="0.25">
      <c r="A15" t="s">
        <v>7109</v>
      </c>
      <c r="C15" s="242">
        <v>1</v>
      </c>
      <c r="D15" s="242">
        <v>0.95</v>
      </c>
      <c r="E15" s="242">
        <v>0.24</v>
      </c>
      <c r="F15" s="242">
        <v>1</v>
      </c>
      <c r="G15" s="242">
        <v>1</v>
      </c>
      <c r="H15" s="242">
        <v>1</v>
      </c>
      <c r="I15" s="242">
        <v>1</v>
      </c>
      <c r="J15" s="131" t="s">
        <v>7110</v>
      </c>
    </row>
    <row r="16" spans="1:13" x14ac:dyDescent="0.25">
      <c r="C16" s="140"/>
      <c r="D16" s="140"/>
      <c r="E16" s="140"/>
      <c r="F16" s="140"/>
      <c r="G16" s="140"/>
      <c r="H16" s="140"/>
      <c r="I16" s="140"/>
      <c r="J16" s="120"/>
    </row>
    <row r="17" spans="1:11" x14ac:dyDescent="0.25">
      <c r="A17" t="s">
        <v>7111</v>
      </c>
      <c r="C17" s="120">
        <f>C7/8760*C15</f>
        <v>293.7470397954458</v>
      </c>
      <c r="D17" s="120">
        <f t="shared" ref="D17:I17" si="3">D7/8760*D15</f>
        <v>152.21437214936907</v>
      </c>
      <c r="E17" s="120">
        <f t="shared" si="3"/>
        <v>24.099951478685689</v>
      </c>
      <c r="F17" s="120">
        <f t="shared" si="3"/>
        <v>16.450327866048887</v>
      </c>
      <c r="G17" s="120">
        <f t="shared" si="3"/>
        <v>0.84461491297503022</v>
      </c>
      <c r="H17" s="120">
        <f t="shared" si="3"/>
        <v>0</v>
      </c>
      <c r="I17" s="120">
        <f t="shared" si="3"/>
        <v>0</v>
      </c>
      <c r="J17" s="120">
        <f>SUM(C17:I17)</f>
        <v>487.35630620252448</v>
      </c>
      <c r="K17" t="s">
        <v>7104</v>
      </c>
    </row>
    <row r="18" spans="1:11" x14ac:dyDescent="0.25">
      <c r="A18" t="s">
        <v>7112</v>
      </c>
      <c r="C18" s="242">
        <v>3.2</v>
      </c>
      <c r="D18" s="242">
        <v>2</v>
      </c>
      <c r="E18" s="242">
        <v>2</v>
      </c>
      <c r="F18" s="242">
        <v>4.5</v>
      </c>
      <c r="G18" s="242">
        <v>1</v>
      </c>
      <c r="H18" s="243" t="s">
        <v>7107</v>
      </c>
      <c r="I18" s="243" t="s">
        <v>7107</v>
      </c>
      <c r="J18" s="112" t="s">
        <v>7107</v>
      </c>
    </row>
    <row r="19" spans="1:11" x14ac:dyDescent="0.25">
      <c r="A19" t="s">
        <v>7113</v>
      </c>
      <c r="C19" s="119">
        <f>C17*C18</f>
        <v>939.99052734542659</v>
      </c>
      <c r="D19" s="119">
        <f>D17*D18</f>
        <v>304.42874429873814</v>
      </c>
      <c r="E19" s="119">
        <f>E17*E18</f>
        <v>48.199902957371378</v>
      </c>
      <c r="F19" s="119">
        <f>F17*F18</f>
        <v>74.026475397219997</v>
      </c>
      <c r="G19" s="119">
        <f>G17*G18</f>
        <v>0.84461491297503022</v>
      </c>
      <c r="H19" s="135">
        <f>690*H14</f>
        <v>113.85000000000001</v>
      </c>
      <c r="I19" s="135">
        <f>690*I14</f>
        <v>576.15</v>
      </c>
      <c r="J19" s="120">
        <f>SUM(C19:I19)</f>
        <v>2057.4902649117312</v>
      </c>
      <c r="K19" t="s">
        <v>7104</v>
      </c>
    </row>
    <row r="20" spans="1:11" x14ac:dyDescent="0.25">
      <c r="A20" t="s">
        <v>7069</v>
      </c>
      <c r="C20" s="119">
        <f>C19-C17</f>
        <v>646.24348754998073</v>
      </c>
      <c r="D20" s="119">
        <f t="shared" ref="D20:I20" si="4">D19-D17</f>
        <v>152.21437214936907</v>
      </c>
      <c r="E20" s="119">
        <f t="shared" si="4"/>
        <v>24.099951478685689</v>
      </c>
      <c r="F20" s="119">
        <f t="shared" si="4"/>
        <v>57.57614753117111</v>
      </c>
      <c r="G20" s="119">
        <f t="shared" si="4"/>
        <v>0</v>
      </c>
      <c r="H20" s="119">
        <f t="shared" si="4"/>
        <v>113.85000000000001</v>
      </c>
      <c r="I20" s="119">
        <f t="shared" si="4"/>
        <v>576.15</v>
      </c>
      <c r="J20" s="120">
        <f>SUM(C20:I20)</f>
        <v>1570.1339587092066</v>
      </c>
      <c r="K20" t="s">
        <v>7104</v>
      </c>
    </row>
    <row r="21" spans="1:11" x14ac:dyDescent="0.25">
      <c r="C21" s="119"/>
      <c r="D21" s="119"/>
      <c r="E21" s="119"/>
      <c r="F21" s="119"/>
      <c r="G21" s="119"/>
      <c r="H21" s="119"/>
      <c r="I21" s="119"/>
      <c r="J21" s="120"/>
    </row>
    <row r="22" spans="1:11" x14ac:dyDescent="0.25">
      <c r="A22" t="s">
        <v>6995</v>
      </c>
      <c r="C22" s="135">
        <f>+LinkFromRevenues!K62</f>
        <v>59947.978395061735</v>
      </c>
      <c r="D22" s="135">
        <v>5453</v>
      </c>
      <c r="E22" s="135">
        <f>+LinkFromRevenues!M62</f>
        <v>83</v>
      </c>
      <c r="F22" s="135">
        <v>299</v>
      </c>
      <c r="G22" s="135">
        <v>13</v>
      </c>
      <c r="H22" s="135">
        <f>+LinkFromRevenues!P62</f>
        <v>1203</v>
      </c>
      <c r="I22" s="135">
        <f>+LinkFromRevenues!Q63</f>
        <v>0</v>
      </c>
      <c r="J22" s="120">
        <f>SUM(C22:I22)</f>
        <v>66998.978395061742</v>
      </c>
    </row>
    <row r="23" spans="1:11" x14ac:dyDescent="0.25">
      <c r="A23" t="s">
        <v>30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/>
      <c r="I23" s="135">
        <v>8526</v>
      </c>
      <c r="J23" s="120">
        <f>SUM(C23:I23)</f>
        <v>8526</v>
      </c>
    </row>
    <row r="25" spans="1:11" x14ac:dyDescent="0.25">
      <c r="A25" t="s">
        <v>7114</v>
      </c>
      <c r="C25" s="148">
        <f>+LinkFromRevenues!E11+LinkFromRevenues!E18+LinkFromRevenues!E31+LinkFromRevenues!E32</f>
        <v>25750370</v>
      </c>
      <c r="D25" s="148">
        <f>+LinkFromRevenues!E12+LinkFromRevenues!E19</f>
        <v>9469627</v>
      </c>
      <c r="E25" s="148">
        <f>+LinkFromRevenues!E13</f>
        <v>3260588</v>
      </c>
      <c r="F25" s="148">
        <f>+LinkFromRevenues!E14+LinkFromRevenues!E20</f>
        <v>946309</v>
      </c>
      <c r="G25" s="148">
        <f>+LinkFromRevenues!E15</f>
        <v>48654</v>
      </c>
      <c r="H25" s="148">
        <f>+LinkFromRevenues!E25</f>
        <v>1090320</v>
      </c>
      <c r="I25" s="148"/>
      <c r="J25" s="3">
        <f>SUM(C25:I25)</f>
        <v>40565868</v>
      </c>
    </row>
    <row r="27" spans="1:11" x14ac:dyDescent="0.25">
      <c r="C27" s="65"/>
      <c r="D27" s="65"/>
      <c r="E27" s="65"/>
      <c r="F27" s="65"/>
      <c r="G27" s="65"/>
      <c r="H27" s="65" t="s">
        <v>7042</v>
      </c>
      <c r="I27" s="65" t="s">
        <v>7043</v>
      </c>
      <c r="J27" s="141" t="s">
        <v>7115</v>
      </c>
      <c r="K27" s="141" t="s">
        <v>7116</v>
      </c>
    </row>
    <row r="28" spans="1:11" x14ac:dyDescent="0.25">
      <c r="A28" s="66"/>
      <c r="B28" s="66"/>
      <c r="C28" s="67" t="s">
        <v>65</v>
      </c>
      <c r="D28" s="67" t="s">
        <v>70</v>
      </c>
      <c r="E28" s="67" t="s">
        <v>66</v>
      </c>
      <c r="F28" s="67" t="s">
        <v>8124</v>
      </c>
      <c r="G28" s="67" t="s">
        <v>8125</v>
      </c>
      <c r="H28" s="67" t="s">
        <v>7044</v>
      </c>
      <c r="I28" s="67" t="s">
        <v>7044</v>
      </c>
      <c r="J28" s="68" t="s">
        <v>7088</v>
      </c>
      <c r="K28" s="68" t="s">
        <v>7088</v>
      </c>
    </row>
    <row r="29" spans="1:11" x14ac:dyDescent="0.25">
      <c r="A29" t="s">
        <v>7089</v>
      </c>
      <c r="C29" s="135">
        <f>+LinkFromRevenues!K50/12</f>
        <v>57064.98090185583</v>
      </c>
      <c r="D29" s="135">
        <f>+LinkFromRevenues!L50/12</f>
        <v>3128.5248024602079</v>
      </c>
      <c r="E29" s="135">
        <f>+LinkFromRevenues!M50/12</f>
        <v>10.86</v>
      </c>
      <c r="F29" s="135">
        <f>+LinkFromRevenues!N50/12</f>
        <v>67.589233397711439</v>
      </c>
      <c r="G29" s="135">
        <f>+LinkFromRevenues!O50/12</f>
        <v>1.2085821903862886</v>
      </c>
      <c r="H29" s="135"/>
      <c r="I29" s="135"/>
      <c r="J29" s="142">
        <v>1</v>
      </c>
      <c r="K29" s="142">
        <v>1</v>
      </c>
    </row>
    <row r="30" spans="1:11" x14ac:dyDescent="0.25">
      <c r="A30" t="s">
        <v>7090</v>
      </c>
      <c r="C30" s="135">
        <f>+LinkFromRevenues!K51/12</f>
        <v>223.06305304513128</v>
      </c>
      <c r="D30" s="135">
        <f>+LinkFromRevenues!L51/12</f>
        <v>42.921253676022722</v>
      </c>
      <c r="E30" s="135">
        <f>+LinkFromRevenues!M51/12</f>
        <v>1</v>
      </c>
      <c r="F30" s="135">
        <f>+LinkFromRevenues!N51/12</f>
        <v>1.500286433036937</v>
      </c>
      <c r="G30" s="135">
        <f>+LinkFromRevenues!O51/12</f>
        <v>0</v>
      </c>
      <c r="H30" s="135"/>
      <c r="I30" s="135"/>
      <c r="J30" s="142">
        <v>1.5</v>
      </c>
      <c r="K30" s="142">
        <v>1</v>
      </c>
    </row>
    <row r="31" spans="1:11" x14ac:dyDescent="0.25">
      <c r="A31" t="s">
        <v>7091</v>
      </c>
      <c r="C31" s="135">
        <f>+LinkFromRevenues!K52/12</f>
        <v>2837.2316081103413</v>
      </c>
      <c r="D31" s="135">
        <f>+LinkFromRevenues!L52/12</f>
        <v>1230.8944113419152</v>
      </c>
      <c r="E31" s="135">
        <f>+LinkFromRevenues!M52/12</f>
        <v>9.8400000000000016</v>
      </c>
      <c r="F31" s="135">
        <f>+LinkFromRevenues!N52/12</f>
        <v>35.59791292714921</v>
      </c>
      <c r="G31" s="135">
        <f>+LinkFromRevenues!O52/12</f>
        <v>1.9642112045828941</v>
      </c>
      <c r="H31" s="135"/>
      <c r="I31" s="135"/>
      <c r="J31" s="142">
        <v>2.5</v>
      </c>
      <c r="K31" s="142">
        <v>1.4</v>
      </c>
    </row>
    <row r="32" spans="1:11" x14ac:dyDescent="0.25">
      <c r="A32" t="s">
        <v>7092</v>
      </c>
      <c r="C32" s="135">
        <f>+LinkFromRevenues!K53/12</f>
        <v>18.25323430551904</v>
      </c>
      <c r="D32" s="135">
        <f>+LinkFromRevenues!L53/12</f>
        <v>352.97618820630532</v>
      </c>
      <c r="E32" s="135">
        <f>+LinkFromRevenues!M53/12</f>
        <v>1.9600000000000006</v>
      </c>
      <c r="F32" s="135">
        <f>+LinkFromRevenues!N53/12</f>
        <v>21.88545195250779</v>
      </c>
      <c r="G32" s="135">
        <f>+LinkFromRevenues!O53/12</f>
        <v>0</v>
      </c>
      <c r="H32" s="135"/>
      <c r="I32" s="135"/>
      <c r="J32" s="142">
        <v>5</v>
      </c>
      <c r="K32" s="142">
        <v>1.8</v>
      </c>
    </row>
    <row r="33" spans="1:11" x14ac:dyDescent="0.25">
      <c r="A33" t="s">
        <v>7093</v>
      </c>
      <c r="C33" s="135">
        <f>+LinkFromRevenues!K54/12</f>
        <v>9.1037446140497966</v>
      </c>
      <c r="D33" s="135">
        <f>+LinkFromRevenues!L54/12</f>
        <v>965.92185997007084</v>
      </c>
      <c r="E33" s="135">
        <f>+LinkFromRevenues!M54/12</f>
        <v>69.139999999999986</v>
      </c>
      <c r="F33" s="135">
        <f>+LinkFromRevenues!N54/12</f>
        <v>176.35377576864525</v>
      </c>
      <c r="G33" s="135">
        <f>+LinkFromRevenues!O54/12</f>
        <v>4.739258703981343</v>
      </c>
      <c r="H33" s="135"/>
      <c r="I33" s="135"/>
      <c r="J33" s="142">
        <v>8</v>
      </c>
      <c r="K33" s="142">
        <v>2.5</v>
      </c>
    </row>
    <row r="34" spans="1:11" x14ac:dyDescent="0.25">
      <c r="A34" t="s">
        <v>7094</v>
      </c>
      <c r="C34" s="135">
        <f>+LinkFromRevenues!K55/12</f>
        <v>0</v>
      </c>
      <c r="D34" s="135">
        <f>+LinkFromRevenues!L55/12</f>
        <v>0.96322839043985675</v>
      </c>
      <c r="E34" s="135">
        <f>+LinkFromRevenues!M55/12</f>
        <v>5</v>
      </c>
      <c r="F34" s="135">
        <f>+LinkFromRevenues!N55/12</f>
        <v>2.2095877345456172</v>
      </c>
      <c r="G34" s="135">
        <f>+LinkFromRevenues!O55/12</f>
        <v>1.1623233290762027</v>
      </c>
      <c r="H34" s="135"/>
      <c r="I34" s="135"/>
      <c r="J34" s="142">
        <v>16</v>
      </c>
      <c r="K34" s="142">
        <v>3</v>
      </c>
    </row>
    <row r="35" spans="1:11" x14ac:dyDescent="0.25">
      <c r="A35" t="s">
        <v>7095</v>
      </c>
      <c r="C35" s="135">
        <f>+LinkFromRevenues!K56/12</f>
        <v>0</v>
      </c>
      <c r="D35" s="135">
        <f>+LinkFromRevenues!L56/12</f>
        <v>6.3771238730980739</v>
      </c>
      <c r="E35" s="135">
        <f>+LinkFromRevenues!M56/12</f>
        <v>8.8400000000000016</v>
      </c>
      <c r="F35" s="135">
        <f>+LinkFromRevenues!N56/12</f>
        <v>1.4967070472358095</v>
      </c>
      <c r="G35" s="135">
        <f>+LinkFromRevenues!O56/12</f>
        <v>1.8658078368223301E-2</v>
      </c>
      <c r="H35" s="135"/>
      <c r="I35" s="135"/>
      <c r="J35" s="142">
        <v>25</v>
      </c>
      <c r="K35" s="142">
        <v>4</v>
      </c>
    </row>
    <row r="36" spans="1:11" x14ac:dyDescent="0.25">
      <c r="A36" t="s">
        <v>7096</v>
      </c>
      <c r="C36" s="135">
        <f>+LinkFromRevenues!K57/12</f>
        <v>0</v>
      </c>
      <c r="D36" s="135">
        <f>+LinkFromRevenues!L57/12</f>
        <v>1.9748035501777659</v>
      </c>
      <c r="E36" s="135">
        <f>+LinkFromRevenues!M57/12</f>
        <v>2.9600000000000009</v>
      </c>
      <c r="F36" s="135">
        <f>+LinkFromRevenues!N57/12</f>
        <v>0</v>
      </c>
      <c r="G36" s="135">
        <f>+LinkFromRevenues!O57/12</f>
        <v>0.43963097155126135</v>
      </c>
      <c r="H36" s="135"/>
      <c r="I36" s="135"/>
      <c r="J36" s="142">
        <v>50</v>
      </c>
      <c r="K36" s="142">
        <v>5</v>
      </c>
    </row>
    <row r="37" spans="1:11" x14ac:dyDescent="0.25">
      <c r="A37" t="s">
        <v>7097</v>
      </c>
      <c r="C37" s="135">
        <f>+LinkFromRevenues!K58/12</f>
        <v>0</v>
      </c>
      <c r="D37" s="135">
        <f>+LinkFromRevenues!L58/12</f>
        <v>0</v>
      </c>
      <c r="E37" s="135">
        <f>+LinkFromRevenues!M58/12</f>
        <v>0</v>
      </c>
      <c r="F37" s="135">
        <f>+LinkFromRevenues!N58/12</f>
        <v>0</v>
      </c>
      <c r="G37" s="135">
        <f>+LinkFromRevenues!O58/12</f>
        <v>0</v>
      </c>
      <c r="H37" s="135"/>
      <c r="I37" s="135"/>
      <c r="J37" s="142">
        <v>80</v>
      </c>
      <c r="K37" s="142">
        <v>6</v>
      </c>
    </row>
    <row r="38" spans="1:11" x14ac:dyDescent="0.25">
      <c r="A38" t="s">
        <v>7098</v>
      </c>
      <c r="C38" s="135">
        <f>+LinkFromRevenues!K59/12</f>
        <v>0</v>
      </c>
      <c r="D38" s="135">
        <f>+LinkFromRevenues!L59/12</f>
        <v>0</v>
      </c>
      <c r="E38" s="135">
        <f>+LinkFromRevenues!M59/12</f>
        <v>1.9800000000000004</v>
      </c>
      <c r="F38" s="135">
        <f>+LinkFromRevenues!N59/12</f>
        <v>0</v>
      </c>
      <c r="G38" s="135">
        <f>+LinkFromRevenues!O59/12</f>
        <v>0</v>
      </c>
      <c r="H38" s="135"/>
      <c r="I38" s="135"/>
      <c r="J38" s="142">
        <v>115</v>
      </c>
      <c r="K38" s="142">
        <v>6.5</v>
      </c>
    </row>
    <row r="39" spans="1:11" x14ac:dyDescent="0.25">
      <c r="A39" t="s">
        <v>7099</v>
      </c>
      <c r="C39" s="135">
        <f>+LinkFromRevenues!K60/12</f>
        <v>0</v>
      </c>
      <c r="D39" s="135">
        <f>+LinkFromRevenues!L60/12</f>
        <v>0</v>
      </c>
      <c r="E39" s="135">
        <f>+LinkFromRevenues!M60/12</f>
        <v>0</v>
      </c>
      <c r="F39" s="135">
        <f>+LinkFromRevenues!N60/12</f>
        <v>0</v>
      </c>
      <c r="G39" s="135">
        <f>+LinkFromRevenues!O60/12</f>
        <v>0</v>
      </c>
      <c r="H39" s="135"/>
      <c r="I39" s="135"/>
      <c r="J39" s="142">
        <v>215</v>
      </c>
      <c r="K39" s="142">
        <v>7</v>
      </c>
    </row>
    <row r="40" spans="1:11" x14ac:dyDescent="0.25">
      <c r="A40" t="s">
        <v>7100</v>
      </c>
      <c r="C40" s="135">
        <f>+LinkFromRevenues!K61/12</f>
        <v>0</v>
      </c>
      <c r="D40" s="135">
        <f>+LinkFromRevenues!L61/12</f>
        <v>0</v>
      </c>
      <c r="E40" s="135">
        <f>+LinkFromRevenues!M61/12</f>
        <v>0</v>
      </c>
      <c r="F40" s="135">
        <f>+LinkFromRevenues!N61/12</f>
        <v>0</v>
      </c>
      <c r="G40" s="135">
        <f>+LinkFromRevenues!O61/12</f>
        <v>0</v>
      </c>
      <c r="H40" s="135"/>
      <c r="I40" s="135"/>
      <c r="J40" s="142">
        <v>458</v>
      </c>
      <c r="K40" s="142">
        <v>7</v>
      </c>
    </row>
    <row r="41" spans="1:11" x14ac:dyDescent="0.25">
      <c r="C41" s="143"/>
      <c r="D41" s="143"/>
      <c r="E41" s="143"/>
      <c r="F41" s="143"/>
      <c r="G41" s="143"/>
      <c r="H41" s="143"/>
      <c r="I41" s="143"/>
    </row>
    <row r="42" spans="1:11" x14ac:dyDescent="0.25">
      <c r="A42" t="s">
        <v>7117</v>
      </c>
      <c r="C42" s="144">
        <v>0.68969999999999998</v>
      </c>
      <c r="D42" s="119">
        <f>J8/C42</f>
        <v>19893.313682925313</v>
      </c>
      <c r="E42" t="s">
        <v>7118</v>
      </c>
      <c r="I42" s="130">
        <f>D42/24</f>
        <v>828.88807012188806</v>
      </c>
      <c r="J42" t="s">
        <v>7119</v>
      </c>
    </row>
    <row r="43" spans="1:11" x14ac:dyDescent="0.25">
      <c r="A43" t="s">
        <v>7120</v>
      </c>
      <c r="C43" s="124">
        <f>J8/D43</f>
        <v>0.51208367167579039</v>
      </c>
      <c r="D43" s="120">
        <f>D42+H12+I12</f>
        <v>26793.313682925313</v>
      </c>
      <c r="E43" t="s">
        <v>7121</v>
      </c>
      <c r="I43" s="130">
        <f>D43/24</f>
        <v>1116.3880701218879</v>
      </c>
      <c r="J43" t="s">
        <v>7119</v>
      </c>
    </row>
    <row r="44" spans="1:11" x14ac:dyDescent="0.25">
      <c r="A44" t="s">
        <v>7122</v>
      </c>
      <c r="C44" s="144">
        <v>0.44840000000000002</v>
      </c>
      <c r="D44" s="120">
        <f>J17/C44</f>
        <v>1086.878470567628</v>
      </c>
      <c r="E44" t="s">
        <v>7123</v>
      </c>
      <c r="I44" s="120"/>
    </row>
    <row r="45" spans="1:11" x14ac:dyDescent="0.25">
      <c r="A45" t="s">
        <v>7124</v>
      </c>
      <c r="C45" s="124">
        <f>J17/D45</f>
        <v>0.29305349537171727</v>
      </c>
      <c r="D45" s="120">
        <f>D44+H99+I20</f>
        <v>1663.0284705676281</v>
      </c>
      <c r="E45" t="s">
        <v>7125</v>
      </c>
      <c r="I45" s="120"/>
    </row>
    <row r="47" spans="1:11" x14ac:dyDescent="0.25">
      <c r="A47" t="s">
        <v>7126</v>
      </c>
    </row>
    <row r="48" spans="1:11" x14ac:dyDescent="0.25">
      <c r="B48" t="s">
        <v>7127</v>
      </c>
      <c r="C48" s="65" t="s">
        <v>8161</v>
      </c>
      <c r="D48" s="65" t="s">
        <v>7128</v>
      </c>
      <c r="E48" s="65"/>
      <c r="F48" s="65"/>
    </row>
    <row r="49" spans="1:6" x14ac:dyDescent="0.25">
      <c r="B49" t="s">
        <v>7154</v>
      </c>
      <c r="C49" s="135">
        <f>957719+30996+1810+190675</f>
        <v>1181200</v>
      </c>
      <c r="D49" s="145">
        <f>C49/C51</f>
        <v>0.24768414693549581</v>
      </c>
      <c r="E49" s="146"/>
      <c r="F49" s="145"/>
    </row>
    <row r="50" spans="1:6" x14ac:dyDescent="0.25">
      <c r="B50" t="s">
        <v>7155</v>
      </c>
      <c r="C50" s="135">
        <f>2903909+10998+11310+21747+639813</f>
        <v>3587777</v>
      </c>
      <c r="D50" s="145">
        <f>C50/C51</f>
        <v>0.75231585306450421</v>
      </c>
      <c r="E50" s="146"/>
      <c r="F50" s="145"/>
    </row>
    <row r="51" spans="1:6" x14ac:dyDescent="0.25">
      <c r="B51" t="s">
        <v>6996</v>
      </c>
      <c r="C51" s="119">
        <f>SUM(C49:C50)</f>
        <v>4768977</v>
      </c>
      <c r="D51" s="147">
        <f>SUM(D49:D50)</f>
        <v>1</v>
      </c>
      <c r="E51" s="131"/>
      <c r="F51" s="145"/>
    </row>
    <row r="53" spans="1:6" x14ac:dyDescent="0.25">
      <c r="A53" t="s">
        <v>7129</v>
      </c>
    </row>
    <row r="54" spans="1:6" x14ac:dyDescent="0.25">
      <c r="B54" t="s">
        <v>7130</v>
      </c>
      <c r="C54" s="245">
        <f>12082301/1000</f>
        <v>12082.300999999999</v>
      </c>
    </row>
    <row r="55" spans="1:6" x14ac:dyDescent="0.25">
      <c r="B55" t="s">
        <v>7131</v>
      </c>
      <c r="C55" s="127">
        <f>(H12+I12)/C54</f>
        <v>0.57108327296265837</v>
      </c>
      <c r="D55" t="s">
        <v>7132</v>
      </c>
    </row>
    <row r="56" spans="1:6" x14ac:dyDescent="0.25">
      <c r="B56" t="s">
        <v>7133</v>
      </c>
      <c r="C56" s="124">
        <f>1-C55</f>
        <v>0.42891672703734163</v>
      </c>
    </row>
  </sheetData>
  <printOptions horizontalCentered="1"/>
  <pageMargins left="0.7" right="0.7" top="1" bottom="0.5" header="0.3" footer="0.3"/>
  <pageSetup scale="61" orientation="landscape" r:id="rId1"/>
  <headerFooter>
    <oddHeader>&amp;RSchedule CBR-1
NJAWC Class Cost of Service Study
Tab: &amp;A
Page &amp;P of &amp;N</oddHeader>
  </headerFooter>
  <customProperties>
    <customPr name="_pios_id" r:id="rId2"/>
  </customProperties>
  <drawing r:id="rId5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2:L132"/>
  <sheetViews>
    <sheetView zoomScale="80" zoomScaleNormal="80" zoomScaleSheetLayoutView="100" workbookViewId="0">
      <selection activeCell="B6" sqref="B6"/>
    </sheetView>
  </sheetViews>
  <sheetFormatPr defaultRowHeight="15" x14ac:dyDescent="0.25"/>
  <cols>
    <col min="1" max="1" customWidth="true" width="34.5703125" collapsed="false"/>
    <col min="2" max="9" customWidth="true" width="14.7109375" collapsed="false"/>
    <col min="10" max="10" customWidth="true" width="14.42578125" collapsed="false"/>
  </cols>
  <sheetData>
    <row r="2" spans="1:12" x14ac:dyDescent="0.25">
      <c r="A2" s="1" t="s">
        <v>7973</v>
      </c>
    </row>
    <row r="3" spans="1:12" x14ac:dyDescent="0.25">
      <c r="A3" s="1" t="s">
        <v>7061</v>
      </c>
    </row>
    <row r="5" spans="1:12" x14ac:dyDescent="0.25">
      <c r="A5" s="118" t="s">
        <v>7062</v>
      </c>
      <c r="B5" s="65"/>
      <c r="C5" s="65"/>
      <c r="D5" s="65"/>
      <c r="E5" s="65"/>
      <c r="F5" s="65"/>
    </row>
    <row r="6" spans="1:12" x14ac:dyDescent="0.25">
      <c r="A6" s="118"/>
      <c r="B6" s="65"/>
      <c r="C6" s="65"/>
      <c r="D6" s="65"/>
      <c r="E6" s="65"/>
      <c r="F6" s="65"/>
      <c r="G6" s="65" t="s">
        <v>7042</v>
      </c>
      <c r="H6" s="65" t="s">
        <v>7043</v>
      </c>
    </row>
    <row r="7" spans="1:12" x14ac:dyDescent="0.25">
      <c r="A7" s="66" t="s">
        <v>7063</v>
      </c>
      <c r="B7" s="67" t="s">
        <v>65</v>
      </c>
      <c r="C7" s="67" t="s">
        <v>70</v>
      </c>
      <c r="D7" s="67" t="s">
        <v>66</v>
      </c>
      <c r="E7" s="67" t="s">
        <v>8124</v>
      </c>
      <c r="F7" s="67" t="s">
        <v>8125</v>
      </c>
      <c r="G7" s="67" t="s">
        <v>7044</v>
      </c>
      <c r="H7" s="67" t="s">
        <v>7044</v>
      </c>
      <c r="I7" s="67" t="s">
        <v>6996</v>
      </c>
      <c r="J7" s="109" t="s">
        <v>7064</v>
      </c>
      <c r="K7" s="66"/>
      <c r="L7" s="66"/>
    </row>
    <row r="8" spans="1:12" x14ac:dyDescent="0.25">
      <c r="A8" t="s">
        <v>7045</v>
      </c>
      <c r="B8" s="119">
        <f>'Usage Statistics'!C8</f>
        <v>7049.9289550906988</v>
      </c>
      <c r="C8" s="119">
        <f>'Usage Statistics'!D8</f>
        <v>3845.4157174577454</v>
      </c>
      <c r="D8" s="119">
        <f>'Usage Statistics'!E8</f>
        <v>2409.9951478685689</v>
      </c>
      <c r="E8" s="119">
        <f>'Usage Statistics'!F8</f>
        <v>394.80786878517324</v>
      </c>
      <c r="F8" s="119">
        <f>'Usage Statistics'!G8</f>
        <v>20.270757911400725</v>
      </c>
      <c r="G8" s="119">
        <f>'Usage Statistics'!H8</f>
        <v>0</v>
      </c>
      <c r="H8" s="119">
        <f>'Usage Statistics'!I8</f>
        <v>0</v>
      </c>
      <c r="I8" s="120">
        <f>SUM(B8:H8)</f>
        <v>13720.418447113589</v>
      </c>
      <c r="J8" t="s">
        <v>7065</v>
      </c>
    </row>
    <row r="9" spans="1:12" x14ac:dyDescent="0.25">
      <c r="A9" s="121" t="s">
        <v>7066</v>
      </c>
      <c r="B9" s="122">
        <f>B8/$I8</f>
        <v>0.51382754704349531</v>
      </c>
      <c r="C9" s="122">
        <f t="shared" ref="C9:H9" si="0">C8/$I8</f>
        <v>0.28026956555881999</v>
      </c>
      <c r="D9" s="122">
        <f t="shared" si="0"/>
        <v>0.17565026585436014</v>
      </c>
      <c r="E9" s="122">
        <f t="shared" si="0"/>
        <v>2.877520611393819E-2</v>
      </c>
      <c r="F9" s="122">
        <f t="shared" si="0"/>
        <v>1.4774154293862047E-3</v>
      </c>
      <c r="G9" s="122">
        <f t="shared" si="0"/>
        <v>0</v>
      </c>
      <c r="H9" s="122">
        <f t="shared" si="0"/>
        <v>0</v>
      </c>
      <c r="I9" s="123">
        <f>SUM(B9:H9)</f>
        <v>0.99999999999999978</v>
      </c>
    </row>
    <row r="10" spans="1:12" x14ac:dyDescent="0.25">
      <c r="A10" s="121"/>
      <c r="B10" s="122"/>
      <c r="C10" s="122"/>
      <c r="D10" s="122"/>
      <c r="E10" s="122"/>
      <c r="F10" s="122"/>
      <c r="G10" s="122"/>
      <c r="H10" s="122"/>
      <c r="I10" s="123"/>
    </row>
    <row r="12" spans="1:12" x14ac:dyDescent="0.25">
      <c r="A12" s="118" t="s">
        <v>7067</v>
      </c>
      <c r="B12" s="65"/>
      <c r="C12" s="65"/>
      <c r="D12" s="65"/>
      <c r="E12" s="65"/>
      <c r="F12" s="65"/>
    </row>
    <row r="13" spans="1:12" x14ac:dyDescent="0.25">
      <c r="A13" s="118"/>
      <c r="B13" s="65"/>
      <c r="C13" s="65"/>
      <c r="D13" s="65"/>
      <c r="E13" s="65"/>
      <c r="F13" s="65"/>
      <c r="G13" s="65" t="s">
        <v>7042</v>
      </c>
      <c r="H13" s="65" t="s">
        <v>7043</v>
      </c>
    </row>
    <row r="14" spans="1:12" x14ac:dyDescent="0.25">
      <c r="A14" s="66" t="s">
        <v>7063</v>
      </c>
      <c r="B14" s="67" t="s">
        <v>65</v>
      </c>
      <c r="C14" s="67" t="s">
        <v>70</v>
      </c>
      <c r="D14" s="67" t="s">
        <v>66</v>
      </c>
      <c r="E14" s="67" t="s">
        <v>8124</v>
      </c>
      <c r="F14" s="67" t="s">
        <v>8125</v>
      </c>
      <c r="G14" s="67" t="s">
        <v>7044</v>
      </c>
      <c r="H14" s="67" t="s">
        <v>7044</v>
      </c>
      <c r="I14" s="67" t="s">
        <v>6996</v>
      </c>
      <c r="J14" s="109" t="s">
        <v>7064</v>
      </c>
      <c r="K14" s="66"/>
      <c r="L14" s="66"/>
    </row>
    <row r="15" spans="1:12" x14ac:dyDescent="0.25">
      <c r="A15" t="s">
        <v>7068</v>
      </c>
      <c r="B15" s="119">
        <f>'Usage Statistics'!C8</f>
        <v>7049.9289550906988</v>
      </c>
      <c r="C15" s="119">
        <f>'Usage Statistics'!D8</f>
        <v>3845.4157174577454</v>
      </c>
      <c r="D15" s="119">
        <f>'Usage Statistics'!E8</f>
        <v>2409.9951478685689</v>
      </c>
      <c r="E15" s="119">
        <f>'Usage Statistics'!F8</f>
        <v>394.80786878517324</v>
      </c>
      <c r="F15" s="119">
        <f>'Usage Statistics'!G8</f>
        <v>20.270757911400725</v>
      </c>
      <c r="G15" s="119">
        <f>'Usage Statistics'!H8</f>
        <v>0</v>
      </c>
      <c r="H15" s="119">
        <f>'Usage Statistics'!I8</f>
        <v>0</v>
      </c>
      <c r="I15" s="120">
        <f>SUM(B15:H15)</f>
        <v>13720.418447113589</v>
      </c>
      <c r="J15" t="s">
        <v>7065</v>
      </c>
    </row>
    <row r="16" spans="1:12" x14ac:dyDescent="0.25">
      <c r="A16" t="s">
        <v>7069</v>
      </c>
      <c r="B16" s="120">
        <f>'Usage Statistics'!C12</f>
        <v>4229.9573730544207</v>
      </c>
      <c r="C16" s="120">
        <f>'Usage Statistics'!D12</f>
        <v>1538.1662869830975</v>
      </c>
      <c r="D16" s="120">
        <f>'Usage Statistics'!E12</f>
        <v>481.99902957371387</v>
      </c>
      <c r="E16" s="120">
        <f>'Usage Statistics'!F12</f>
        <v>394.80786878517324</v>
      </c>
      <c r="F16" s="120">
        <f>'Usage Statistics'!G12</f>
        <v>14.189530537980506</v>
      </c>
      <c r="I16" s="120">
        <f>SUM(B16:H16)</f>
        <v>6659.1200889343845</v>
      </c>
      <c r="J16" t="s">
        <v>7065</v>
      </c>
    </row>
    <row r="18" spans="1:12" x14ac:dyDescent="0.25">
      <c r="A18" t="s">
        <v>7070</v>
      </c>
      <c r="B18" s="124">
        <f>'Usage Statistics'!C42</f>
        <v>0.68969999999999998</v>
      </c>
      <c r="E18" s="125"/>
      <c r="F18" s="126"/>
    </row>
    <row r="20" spans="1:12" x14ac:dyDescent="0.25">
      <c r="A20" t="s">
        <v>7071</v>
      </c>
      <c r="B20" s="124">
        <f t="shared" ref="B20:H20" si="1">B9*$B$18</f>
        <v>0.35438685919589868</v>
      </c>
      <c r="C20" s="124">
        <f t="shared" si="1"/>
        <v>0.19330191936591815</v>
      </c>
      <c r="D20" s="124">
        <f t="shared" si="1"/>
        <v>0.12114598835975218</v>
      </c>
      <c r="E20" s="124">
        <f t="shared" si="1"/>
        <v>1.9846259656783168E-2</v>
      </c>
      <c r="F20" s="124">
        <f t="shared" si="1"/>
        <v>1.0189734216476654E-3</v>
      </c>
      <c r="G20" s="124">
        <f t="shared" si="1"/>
        <v>0</v>
      </c>
      <c r="H20" s="124">
        <f t="shared" si="1"/>
        <v>0</v>
      </c>
      <c r="I20" s="124">
        <f t="shared" ref="I20:I22" si="2">SUM(B20:H20)</f>
        <v>0.68969999999999998</v>
      </c>
    </row>
    <row r="21" spans="1:12" x14ac:dyDescent="0.25">
      <c r="A21" t="s">
        <v>7072</v>
      </c>
      <c r="B21" s="127">
        <f>B16/$I16*(1-$B$18)</f>
        <v>0.19710648784362536</v>
      </c>
      <c r="C21" s="127">
        <f t="shared" ref="C21:H21" si="3">C16/$I16*(1-$B$18)</f>
        <v>7.1675085067768055E-2</v>
      </c>
      <c r="D21" s="127">
        <f t="shared" si="3"/>
        <v>2.2460069330369623E-2</v>
      </c>
      <c r="E21" s="127">
        <f t="shared" si="3"/>
        <v>1.8397157589576305E-2</v>
      </c>
      <c r="F21" s="127">
        <f t="shared" si="3"/>
        <v>6.6120016866071216E-4</v>
      </c>
      <c r="G21" s="127">
        <f t="shared" si="3"/>
        <v>0</v>
      </c>
      <c r="H21" s="127">
        <f t="shared" si="3"/>
        <v>0</v>
      </c>
      <c r="I21" s="124">
        <f t="shared" si="2"/>
        <v>0.31030000000000013</v>
      </c>
    </row>
    <row r="22" spans="1:12" x14ac:dyDescent="0.25">
      <c r="A22" s="121" t="s">
        <v>7066</v>
      </c>
      <c r="B22" s="128">
        <f>SUM(B20:B21)</f>
        <v>0.55149334703952402</v>
      </c>
      <c r="C22" s="128">
        <f t="shared" ref="C22:H22" si="4">SUM(C20:C21)</f>
        <v>0.26497700443368621</v>
      </c>
      <c r="D22" s="128">
        <f t="shared" si="4"/>
        <v>0.1436060576901218</v>
      </c>
      <c r="E22" s="128">
        <f t="shared" si="4"/>
        <v>3.8243417246359476E-2</v>
      </c>
      <c r="F22" s="128">
        <f t="shared" si="4"/>
        <v>1.6801735903083776E-3</v>
      </c>
      <c r="G22" s="128">
        <f t="shared" si="4"/>
        <v>0</v>
      </c>
      <c r="H22" s="128">
        <f t="shared" si="4"/>
        <v>0</v>
      </c>
      <c r="I22" s="123">
        <f t="shared" si="2"/>
        <v>0.99999999999999989</v>
      </c>
    </row>
    <row r="23" spans="1:12" x14ac:dyDescent="0.25">
      <c r="A23" s="121"/>
      <c r="B23" s="122"/>
      <c r="C23" s="122"/>
      <c r="D23" s="122"/>
      <c r="E23" s="122"/>
      <c r="F23" s="122"/>
      <c r="G23" s="122"/>
      <c r="H23" s="122"/>
      <c r="I23" s="123"/>
    </row>
    <row r="25" spans="1:12" x14ac:dyDescent="0.25">
      <c r="A25" s="118" t="s">
        <v>8179</v>
      </c>
      <c r="B25" s="65"/>
      <c r="C25" s="65"/>
      <c r="D25" s="65"/>
      <c r="E25" s="65"/>
      <c r="F25" s="65"/>
    </row>
    <row r="26" spans="1:12" x14ac:dyDescent="0.25">
      <c r="A26" s="118"/>
      <c r="B26" s="65"/>
      <c r="C26" s="65"/>
      <c r="D26" s="65"/>
      <c r="E26" s="65"/>
      <c r="F26" s="65"/>
      <c r="G26" s="65" t="s">
        <v>7042</v>
      </c>
      <c r="H26" s="65" t="s">
        <v>7043</v>
      </c>
    </row>
    <row r="27" spans="1:12" x14ac:dyDescent="0.25">
      <c r="A27" s="66" t="s">
        <v>7063</v>
      </c>
      <c r="B27" s="67" t="s">
        <v>65</v>
      </c>
      <c r="C27" s="67" t="s">
        <v>70</v>
      </c>
      <c r="D27" s="67" t="s">
        <v>66</v>
      </c>
      <c r="E27" s="67" t="s">
        <v>8124</v>
      </c>
      <c r="F27" s="67" t="s">
        <v>8125</v>
      </c>
      <c r="G27" s="67" t="s">
        <v>7044</v>
      </c>
      <c r="H27" s="67" t="s">
        <v>7044</v>
      </c>
      <c r="I27" s="67" t="s">
        <v>6996</v>
      </c>
      <c r="J27" s="109" t="s">
        <v>7064</v>
      </c>
      <c r="K27" s="66"/>
      <c r="L27" s="66"/>
    </row>
    <row r="28" spans="1:12" x14ac:dyDescent="0.25">
      <c r="A28" t="s">
        <v>7068</v>
      </c>
      <c r="B28" s="119">
        <f>'Usage Statistics'!C8</f>
        <v>7049.9289550906988</v>
      </c>
      <c r="C28" s="119">
        <f>'Usage Statistics'!D8</f>
        <v>3845.4157174577454</v>
      </c>
      <c r="D28" s="119">
        <f>'Usage Statistics'!E8</f>
        <v>2409.9951478685689</v>
      </c>
      <c r="E28" s="119">
        <f>'Usage Statistics'!F8</f>
        <v>394.80786878517324</v>
      </c>
      <c r="F28" s="119">
        <f>'Usage Statistics'!G8</f>
        <v>20.270757911400725</v>
      </c>
      <c r="G28" s="119">
        <f>'Usage Statistics'!H8</f>
        <v>0</v>
      </c>
      <c r="H28" s="119">
        <f>'Usage Statistics'!I8</f>
        <v>0</v>
      </c>
      <c r="I28" s="120">
        <f>SUM(B28:H28)</f>
        <v>13720.418447113589</v>
      </c>
      <c r="J28" t="s">
        <v>7065</v>
      </c>
    </row>
    <row r="29" spans="1:12" x14ac:dyDescent="0.25">
      <c r="A29" t="s">
        <v>7069</v>
      </c>
      <c r="B29" s="120">
        <f>'Usage Statistics'!C12</f>
        <v>4229.9573730544207</v>
      </c>
      <c r="C29" s="120">
        <f>'Usage Statistics'!D12</f>
        <v>1538.1662869830975</v>
      </c>
      <c r="D29" s="120">
        <f>'Usage Statistics'!E12</f>
        <v>481.99902957371387</v>
      </c>
      <c r="E29" s="120">
        <f>'Usage Statistics'!F12</f>
        <v>394.80786878517324</v>
      </c>
      <c r="F29" s="120">
        <f>'Usage Statistics'!G12</f>
        <v>14.189530537980506</v>
      </c>
      <c r="G29" s="120">
        <f>'Usage Statistics'!H12</f>
        <v>1138.5</v>
      </c>
      <c r="H29" s="120">
        <f>'Usage Statistics'!I12</f>
        <v>5761.5</v>
      </c>
      <c r="I29" s="120">
        <f>SUM(B29:H29)</f>
        <v>13559.120088934385</v>
      </c>
      <c r="J29" t="s">
        <v>7065</v>
      </c>
    </row>
    <row r="31" spans="1:12" x14ac:dyDescent="0.25">
      <c r="A31" t="s">
        <v>7070</v>
      </c>
      <c r="B31" s="124">
        <f>'Usage Statistics'!C43</f>
        <v>0.51208367167579039</v>
      </c>
      <c r="C31" t="s">
        <v>7073</v>
      </c>
      <c r="E31" s="125"/>
      <c r="F31" s="126"/>
    </row>
    <row r="33" spans="1:12" x14ac:dyDescent="0.25">
      <c r="A33" t="s">
        <v>7071</v>
      </c>
      <c r="B33" s="124">
        <f>B28/$I28*$B$31</f>
        <v>0.26312269689819801</v>
      </c>
      <c r="C33" s="124">
        <f t="shared" ref="C33:H33" si="5">C28/$I28*$B$31</f>
        <v>0.14352146819033917</v>
      </c>
      <c r="D33" s="124">
        <f t="shared" si="5"/>
        <v>8.9947633069529451E-2</v>
      </c>
      <c r="E33" s="124">
        <f t="shared" si="5"/>
        <v>1.473531320005312E-2</v>
      </c>
      <c r="F33" s="124">
        <f t="shared" si="5"/>
        <v>7.5656031767055217E-4</v>
      </c>
      <c r="G33" s="124">
        <f t="shared" si="5"/>
        <v>0</v>
      </c>
      <c r="H33" s="124">
        <f t="shared" si="5"/>
        <v>0</v>
      </c>
      <c r="I33" s="124">
        <f t="shared" ref="I33:I35" si="6">SUM(B33:H33)</f>
        <v>0.51208367167579039</v>
      </c>
    </row>
    <row r="34" spans="1:12" x14ac:dyDescent="0.25">
      <c r="A34" t="s">
        <v>7072</v>
      </c>
      <c r="B34" s="127">
        <f>B29/$I29*(1-$B$31)</f>
        <v>0.1522123306594913</v>
      </c>
      <c r="C34" s="127">
        <f t="shared" ref="C34:H34" si="7">C29/$I29*(1-$B$31)</f>
        <v>5.5349937324425391E-2</v>
      </c>
      <c r="D34" s="127">
        <f t="shared" si="7"/>
        <v>1.7344429079683817E-2</v>
      </c>
      <c r="E34" s="127">
        <f t="shared" si="7"/>
        <v>1.4206910512458419E-2</v>
      </c>
      <c r="F34" s="127">
        <f t="shared" si="7"/>
        <v>5.1060124811386632E-4</v>
      </c>
      <c r="G34" s="127">
        <f>G29/$I29*(1-$B$31)</f>
        <v>4.0968199717506072E-2</v>
      </c>
      <c r="H34" s="127">
        <f t="shared" si="7"/>
        <v>0.20732391978253073</v>
      </c>
      <c r="I34" s="124">
        <f t="shared" si="6"/>
        <v>0.48791632832420961</v>
      </c>
    </row>
    <row r="35" spans="1:12" x14ac:dyDescent="0.25">
      <c r="A35" s="121" t="s">
        <v>7074</v>
      </c>
      <c r="B35" s="128">
        <f>SUM(B33:B34)</f>
        <v>0.41533502755768931</v>
      </c>
      <c r="C35" s="128">
        <f t="shared" ref="C35:H35" si="8">SUM(C33:C34)</f>
        <v>0.19887140551476457</v>
      </c>
      <c r="D35" s="128">
        <f t="shared" si="8"/>
        <v>0.10729206214921327</v>
      </c>
      <c r="E35" s="128">
        <f t="shared" si="8"/>
        <v>2.8942223712511539E-2</v>
      </c>
      <c r="F35" s="128">
        <f t="shared" si="8"/>
        <v>1.2671615657844186E-3</v>
      </c>
      <c r="G35" s="128">
        <f t="shared" si="8"/>
        <v>4.0968199717506072E-2</v>
      </c>
      <c r="H35" s="128">
        <f t="shared" si="8"/>
        <v>0.20732391978253073</v>
      </c>
      <c r="I35" s="123">
        <f t="shared" si="6"/>
        <v>1</v>
      </c>
    </row>
    <row r="37" spans="1:12" x14ac:dyDescent="0.25">
      <c r="A37" s="118" t="s">
        <v>8180</v>
      </c>
      <c r="B37" s="65"/>
      <c r="C37" s="65"/>
      <c r="D37" s="65"/>
      <c r="E37" s="65"/>
      <c r="F37" s="65"/>
    </row>
    <row r="38" spans="1:12" x14ac:dyDescent="0.25">
      <c r="A38" s="118"/>
      <c r="B38" s="65"/>
      <c r="C38" s="65"/>
      <c r="D38" s="65"/>
      <c r="E38" s="65"/>
      <c r="F38" s="65"/>
      <c r="G38" s="65" t="s">
        <v>7042</v>
      </c>
      <c r="H38" s="65" t="s">
        <v>7043</v>
      </c>
    </row>
    <row r="39" spans="1:12" x14ac:dyDescent="0.25">
      <c r="A39" s="66" t="s">
        <v>7063</v>
      </c>
      <c r="B39" s="67" t="s">
        <v>65</v>
      </c>
      <c r="C39" s="67" t="s">
        <v>70</v>
      </c>
      <c r="D39" s="67" t="s">
        <v>66</v>
      </c>
      <c r="E39" s="67" t="s">
        <v>8124</v>
      </c>
      <c r="F39" s="67" t="s">
        <v>8125</v>
      </c>
      <c r="G39" s="67" t="s">
        <v>7044</v>
      </c>
      <c r="H39" s="67" t="s">
        <v>7044</v>
      </c>
      <c r="I39" s="67" t="s">
        <v>6996</v>
      </c>
      <c r="J39" s="109" t="s">
        <v>7064</v>
      </c>
      <c r="K39" s="66"/>
      <c r="L39" s="66"/>
    </row>
    <row r="40" spans="1:12" x14ac:dyDescent="0.25">
      <c r="A40" t="s">
        <v>7075</v>
      </c>
      <c r="B40" s="119">
        <f>'Usage Statistics'!C17</f>
        <v>293.7470397954458</v>
      </c>
      <c r="C40" s="119">
        <f>'Usage Statistics'!D17</f>
        <v>152.21437214936907</v>
      </c>
      <c r="D40" s="119">
        <f>'Usage Statistics'!E17</f>
        <v>24.099951478685689</v>
      </c>
      <c r="E40" s="119">
        <f>'Usage Statistics'!F17</f>
        <v>16.450327866048887</v>
      </c>
      <c r="F40" s="119">
        <f>'Usage Statistics'!G17</f>
        <v>0.84461491297503022</v>
      </c>
      <c r="G40" s="119">
        <f>'Usage Statistics'!H17</f>
        <v>0</v>
      </c>
      <c r="H40" s="119">
        <f>'Usage Statistics'!I17</f>
        <v>0</v>
      </c>
      <c r="I40" s="120">
        <f>SUM(B40:H40)</f>
        <v>487.35630620252448</v>
      </c>
      <c r="J40" t="s">
        <v>7065</v>
      </c>
    </row>
    <row r="41" spans="1:12" x14ac:dyDescent="0.25">
      <c r="A41" t="s">
        <v>7069</v>
      </c>
      <c r="B41" s="120">
        <f>'Usage Statistics'!C20</f>
        <v>646.24348754998073</v>
      </c>
      <c r="C41" s="120">
        <f>'Usage Statistics'!D20</f>
        <v>152.21437214936907</v>
      </c>
      <c r="D41" s="120">
        <f>'Usage Statistics'!E20</f>
        <v>24.099951478685689</v>
      </c>
      <c r="E41" s="120">
        <f>'Usage Statistics'!F20</f>
        <v>57.57614753117111</v>
      </c>
      <c r="F41" s="120">
        <f>'Usage Statistics'!G20</f>
        <v>0</v>
      </c>
      <c r="G41" s="120">
        <f>'Usage Statistics'!H20</f>
        <v>113.85000000000001</v>
      </c>
      <c r="H41" s="120">
        <f>'Usage Statistics'!I20</f>
        <v>576.15</v>
      </c>
      <c r="I41" s="120">
        <f>SUM(B41:H41)</f>
        <v>1570.1339587092066</v>
      </c>
      <c r="J41" t="s">
        <v>7065</v>
      </c>
    </row>
    <row r="43" spans="1:12" x14ac:dyDescent="0.25">
      <c r="A43" t="s">
        <v>7070</v>
      </c>
      <c r="B43" s="124">
        <f>'Usage Statistics'!C45</f>
        <v>0.29305349537171727</v>
      </c>
      <c r="C43" t="s">
        <v>7073</v>
      </c>
      <c r="E43" s="125"/>
      <c r="F43" s="126"/>
    </row>
    <row r="45" spans="1:12" x14ac:dyDescent="0.25">
      <c r="A45" t="s">
        <v>7071</v>
      </c>
      <c r="B45" s="124">
        <f>B40/$I40*$B$43</f>
        <v>0.17663380092054795</v>
      </c>
      <c r="C45" s="124">
        <f t="shared" ref="C45:H45" si="9">C40/$I40*$B$43</f>
        <v>9.1528422298997061E-2</v>
      </c>
      <c r="D45" s="124">
        <f t="shared" si="9"/>
        <v>1.449160486738982E-2</v>
      </c>
      <c r="E45" s="124">
        <f t="shared" si="9"/>
        <v>9.8917896820094903E-3</v>
      </c>
      <c r="F45" s="124">
        <f t="shared" si="9"/>
        <v>5.078776027729366E-4</v>
      </c>
      <c r="G45" s="124">
        <f t="shared" si="9"/>
        <v>0</v>
      </c>
      <c r="H45" s="124">
        <f t="shared" si="9"/>
        <v>0</v>
      </c>
      <c r="I45" s="124">
        <f t="shared" ref="I45:I47" si="10">SUM(B45:H45)</f>
        <v>0.29305349537171727</v>
      </c>
      <c r="J45" s="124"/>
    </row>
    <row r="46" spans="1:12" x14ac:dyDescent="0.25">
      <c r="A46" t="s">
        <v>7072</v>
      </c>
      <c r="B46" s="127">
        <f>B41/$I41*(1-$B$43)</f>
        <v>0.29096853305295706</v>
      </c>
      <c r="C46" s="127">
        <f t="shared" ref="C46:H46" si="11">C41/$I41*(1-$B$43)</f>
        <v>6.8533909319207525E-2</v>
      </c>
      <c r="D46" s="127">
        <f t="shared" si="11"/>
        <v>1.0850906296921531E-2</v>
      </c>
      <c r="E46" s="127">
        <f t="shared" si="11"/>
        <v>2.5923429030594015E-2</v>
      </c>
      <c r="F46" s="127">
        <f t="shared" si="11"/>
        <v>0</v>
      </c>
      <c r="G46" s="127">
        <f t="shared" si="11"/>
        <v>5.1260504943219445E-2</v>
      </c>
      <c r="H46" s="127">
        <f t="shared" si="11"/>
        <v>0.25940922198538324</v>
      </c>
      <c r="I46" s="124">
        <f t="shared" si="10"/>
        <v>0.70694650462828279</v>
      </c>
      <c r="J46" s="124"/>
    </row>
    <row r="47" spans="1:12" x14ac:dyDescent="0.25">
      <c r="A47" s="121" t="s">
        <v>7074</v>
      </c>
      <c r="B47" s="128">
        <f>SUM(B45:B46)</f>
        <v>0.46760233397350504</v>
      </c>
      <c r="C47" s="128">
        <f t="shared" ref="C47:H47" si="12">SUM(C45:C46)</f>
        <v>0.1600623316182046</v>
      </c>
      <c r="D47" s="128">
        <f t="shared" si="12"/>
        <v>2.5342511164311351E-2</v>
      </c>
      <c r="E47" s="128">
        <f t="shared" si="12"/>
        <v>3.5815218712603507E-2</v>
      </c>
      <c r="F47" s="128">
        <f t="shared" si="12"/>
        <v>5.078776027729366E-4</v>
      </c>
      <c r="G47" s="128">
        <f t="shared" si="12"/>
        <v>5.1260504943219445E-2</v>
      </c>
      <c r="H47" s="128">
        <f t="shared" si="12"/>
        <v>0.25940922198538324</v>
      </c>
      <c r="I47" s="123">
        <f t="shared" si="10"/>
        <v>1</v>
      </c>
    </row>
    <row r="49" spans="1:12" x14ac:dyDescent="0.25">
      <c r="A49" s="118" t="s">
        <v>8181</v>
      </c>
      <c r="B49" s="65"/>
      <c r="C49" s="65"/>
      <c r="D49" s="65"/>
      <c r="E49" s="65"/>
      <c r="F49" s="65"/>
    </row>
    <row r="50" spans="1:12" x14ac:dyDescent="0.25">
      <c r="A50" s="118"/>
      <c r="B50" s="65"/>
      <c r="C50" s="65"/>
      <c r="D50" s="65"/>
      <c r="E50" s="65"/>
      <c r="F50" s="65"/>
      <c r="G50" s="65" t="s">
        <v>7042</v>
      </c>
      <c r="H50" s="65" t="s">
        <v>7043</v>
      </c>
    </row>
    <row r="51" spans="1:12" x14ac:dyDescent="0.25">
      <c r="A51" s="66" t="s">
        <v>7063</v>
      </c>
      <c r="B51" s="67" t="s">
        <v>65</v>
      </c>
      <c r="C51" s="67" t="s">
        <v>70</v>
      </c>
      <c r="D51" s="67" t="s">
        <v>66</v>
      </c>
      <c r="E51" s="67" t="s">
        <v>8124</v>
      </c>
      <c r="F51" s="67" t="s">
        <v>8125</v>
      </c>
      <c r="G51" s="67" t="s">
        <v>7044</v>
      </c>
      <c r="H51" s="67" t="s">
        <v>7044</v>
      </c>
      <c r="I51" s="67" t="s">
        <v>6996</v>
      </c>
      <c r="J51" s="109" t="s">
        <v>7064</v>
      </c>
      <c r="K51" s="66"/>
      <c r="L51" s="66"/>
    </row>
    <row r="52" spans="1:12" x14ac:dyDescent="0.25">
      <c r="A52" t="s">
        <v>7075</v>
      </c>
      <c r="B52" s="120">
        <f>'Usage Statistics'!C8/24</f>
        <v>293.7470397954458</v>
      </c>
      <c r="C52" s="120">
        <f>'Usage Statistics'!D8/24</f>
        <v>160.22565489407273</v>
      </c>
      <c r="D52" s="120">
        <f>'Usage Statistics'!E8/24</f>
        <v>100.41646449452371</v>
      </c>
      <c r="E52" s="120">
        <f>'Usage Statistics'!F8/24</f>
        <v>16.450327866048884</v>
      </c>
      <c r="F52" s="120">
        <f>'Usage Statistics'!G8/24</f>
        <v>0.84461491297503022</v>
      </c>
      <c r="G52" s="120">
        <f>'Usage Statistics'!H8/24</f>
        <v>0</v>
      </c>
      <c r="H52" s="120">
        <f>'Usage Statistics'!I8/24</f>
        <v>0</v>
      </c>
      <c r="I52" s="120">
        <f t="shared" ref="I52:I54" si="13">SUM(B52:H52)</f>
        <v>571.68410196306604</v>
      </c>
    </row>
    <row r="53" spans="1:12" x14ac:dyDescent="0.25">
      <c r="A53" t="s">
        <v>7069</v>
      </c>
      <c r="B53" s="119">
        <f>(B52*'Usage Statistics'!C18)-B52</f>
        <v>646.24348754998073</v>
      </c>
      <c r="C53" s="119">
        <f>(C52*'Usage Statistics'!D18)-C52</f>
        <v>160.22565489407273</v>
      </c>
      <c r="D53" s="119">
        <f>(D52*'Usage Statistics'!E18)-D52</f>
        <v>100.41646449452371</v>
      </c>
      <c r="E53" s="119">
        <f>(E52*'Usage Statistics'!F18)-E52</f>
        <v>57.576147531171102</v>
      </c>
      <c r="F53" s="119">
        <f>(F52*'Usage Statistics'!G18)-F52</f>
        <v>0</v>
      </c>
      <c r="G53" s="129" t="s">
        <v>7076</v>
      </c>
      <c r="H53" s="129" t="s">
        <v>7076</v>
      </c>
      <c r="I53" s="120">
        <f t="shared" si="13"/>
        <v>964.46175446974826</v>
      </c>
    </row>
    <row r="54" spans="1:12" x14ac:dyDescent="0.25">
      <c r="A54" t="s">
        <v>7077</v>
      </c>
      <c r="B54" s="130">
        <v>0</v>
      </c>
      <c r="C54" s="130">
        <v>0</v>
      </c>
      <c r="D54" s="130">
        <v>0</v>
      </c>
      <c r="E54" s="130">
        <v>0</v>
      </c>
      <c r="F54" s="130">
        <v>0</v>
      </c>
      <c r="G54" s="111">
        <f>'Usage Statistics'!H14</f>
        <v>0.16500000000000001</v>
      </c>
      <c r="H54" s="111">
        <f>'Usage Statistics'!I14</f>
        <v>0.83499999999999996</v>
      </c>
      <c r="I54" s="111">
        <f t="shared" si="13"/>
        <v>1</v>
      </c>
    </row>
    <row r="56" spans="1:12" x14ac:dyDescent="0.25">
      <c r="A56" t="s">
        <v>7070</v>
      </c>
      <c r="B56" s="124">
        <f>'Usage Statistics'!C45</f>
        <v>0.29305349537171727</v>
      </c>
      <c r="C56" t="s">
        <v>7073</v>
      </c>
      <c r="E56" s="125"/>
      <c r="F56" s="126"/>
    </row>
    <row r="58" spans="1:12" x14ac:dyDescent="0.25">
      <c r="A58" t="s">
        <v>7071</v>
      </c>
      <c r="B58" s="124">
        <f>B52/$I52*$B$56</f>
        <v>0.15057895867937185</v>
      </c>
      <c r="C58" s="124">
        <f t="shared" ref="C58:H58" si="14">C52/$I52*$B$56</f>
        <v>8.2133975833324893E-2</v>
      </c>
      <c r="D58" s="124">
        <f t="shared" si="14"/>
        <v>5.1474924371591652E-2</v>
      </c>
      <c r="E58" s="124">
        <f t="shared" si="14"/>
        <v>8.4326747317311958E-3</v>
      </c>
      <c r="F58" s="124">
        <f t="shared" si="14"/>
        <v>4.3296175569773387E-4</v>
      </c>
      <c r="G58" s="124">
        <f t="shared" si="14"/>
        <v>0</v>
      </c>
      <c r="H58" s="124">
        <f t="shared" si="14"/>
        <v>0</v>
      </c>
      <c r="I58" s="124">
        <f t="shared" ref="I58:I60" si="15">SUM(B58:H58)</f>
        <v>0.29305349537171738</v>
      </c>
      <c r="J58" s="124"/>
    </row>
    <row r="59" spans="1:12" x14ac:dyDescent="0.25">
      <c r="A59" t="s">
        <v>7072</v>
      </c>
      <c r="B59" s="127">
        <f>B53/$I53*(1-$B$56)</f>
        <v>0.47369382201518923</v>
      </c>
      <c r="C59" s="127">
        <f>C53/$I53*(1-$B$56)</f>
        <v>0.1174447469318444</v>
      </c>
      <c r="D59" s="127">
        <f>D53/$I53*(1-$B$56)</f>
        <v>7.3604856027248797E-2</v>
      </c>
      <c r="E59" s="127">
        <f>E53/$I53*(1-$B$56)</f>
        <v>4.2203079654000379E-2</v>
      </c>
      <c r="F59" s="127">
        <f>F53/$I53*(1-$B$56)</f>
        <v>0</v>
      </c>
      <c r="G59" s="129">
        <v>0</v>
      </c>
      <c r="H59" s="129">
        <v>0</v>
      </c>
      <c r="I59" s="124">
        <f t="shared" si="15"/>
        <v>0.70694650462828279</v>
      </c>
      <c r="J59" s="124"/>
    </row>
    <row r="60" spans="1:12" x14ac:dyDescent="0.25">
      <c r="A60" t="s">
        <v>7066</v>
      </c>
      <c r="B60" s="127">
        <f>B58+B59</f>
        <v>0.62427278069456105</v>
      </c>
      <c r="C60" s="127">
        <f t="shared" ref="C60:H60" si="16">C58+C59</f>
        <v>0.1995787227651693</v>
      </c>
      <c r="D60" s="127">
        <f t="shared" si="16"/>
        <v>0.12507978039884043</v>
      </c>
      <c r="E60" s="127">
        <f t="shared" si="16"/>
        <v>5.0635754385731577E-2</v>
      </c>
      <c r="F60" s="127">
        <f t="shared" si="16"/>
        <v>4.3296175569773387E-4</v>
      </c>
      <c r="G60" s="127">
        <f t="shared" si="16"/>
        <v>0</v>
      </c>
      <c r="H60" s="127">
        <f t="shared" si="16"/>
        <v>0</v>
      </c>
      <c r="I60" s="124">
        <f t="shared" si="15"/>
        <v>1</v>
      </c>
      <c r="J60" s="124"/>
    </row>
    <row r="62" spans="1:12" x14ac:dyDescent="0.25">
      <c r="A62" t="s">
        <v>7078</v>
      </c>
      <c r="B62" s="111">
        <f>'Usage Statistics'!C56</f>
        <v>0.42891672703734163</v>
      </c>
    </row>
    <row r="63" spans="1:12" x14ac:dyDescent="0.25">
      <c r="A63" t="s">
        <v>7079</v>
      </c>
      <c r="B63" s="111">
        <f>'Usage Statistics'!C55</f>
        <v>0.57108327296265837</v>
      </c>
    </row>
    <row r="65" spans="1:12" x14ac:dyDescent="0.25">
      <c r="A65" t="s">
        <v>7080</v>
      </c>
      <c r="B65" s="124">
        <f>B60*$B62</f>
        <v>0.26776103787401129</v>
      </c>
      <c r="C65" s="124">
        <f t="shared" ref="C65:H65" si="17">C60*$B62</f>
        <v>8.5602652554729403E-2</v>
      </c>
      <c r="D65" s="124">
        <f t="shared" si="17"/>
        <v>5.3648810027220079E-2</v>
      </c>
      <c r="E65" s="124">
        <f t="shared" si="17"/>
        <v>2.1718522042194707E-2</v>
      </c>
      <c r="F65" s="124">
        <f t="shared" si="17"/>
        <v>1.8570453918621312E-4</v>
      </c>
      <c r="G65" s="124">
        <f t="shared" si="17"/>
        <v>0</v>
      </c>
      <c r="H65" s="124">
        <f t="shared" si="17"/>
        <v>0</v>
      </c>
      <c r="I65" s="124">
        <f t="shared" ref="I65:I67" si="18">SUM(B65:H65)</f>
        <v>0.42891672703734174</v>
      </c>
    </row>
    <row r="66" spans="1:12" x14ac:dyDescent="0.25">
      <c r="A66" t="s">
        <v>7077</v>
      </c>
      <c r="B66" s="124">
        <f t="shared" ref="B66:H66" si="19">B54*$B63</f>
        <v>0</v>
      </c>
      <c r="C66" s="124">
        <f t="shared" si="19"/>
        <v>0</v>
      </c>
      <c r="D66" s="124">
        <f t="shared" si="19"/>
        <v>0</v>
      </c>
      <c r="E66" s="124">
        <f t="shared" si="19"/>
        <v>0</v>
      </c>
      <c r="F66" s="124">
        <f t="shared" si="19"/>
        <v>0</v>
      </c>
      <c r="G66" s="124">
        <f t="shared" si="19"/>
        <v>9.4228740038838632E-2</v>
      </c>
      <c r="H66" s="124">
        <f t="shared" si="19"/>
        <v>0.47685453292381974</v>
      </c>
      <c r="I66" s="124">
        <f t="shared" si="18"/>
        <v>0.57108327296265837</v>
      </c>
    </row>
    <row r="67" spans="1:12" x14ac:dyDescent="0.25">
      <c r="A67" s="121" t="s">
        <v>7074</v>
      </c>
      <c r="B67" s="128">
        <f>SUM(B65:B66)</f>
        <v>0.26776103787401129</v>
      </c>
      <c r="C67" s="128">
        <f>SUM(C65:C66)</f>
        <v>8.5602652554729403E-2</v>
      </c>
      <c r="D67" s="128">
        <f t="shared" ref="D67:H67" si="20">SUM(D65:D66)</f>
        <v>5.3648810027220079E-2</v>
      </c>
      <c r="E67" s="128">
        <f t="shared" si="20"/>
        <v>2.1718522042194707E-2</v>
      </c>
      <c r="F67" s="128">
        <f t="shared" si="20"/>
        <v>1.8570453918621312E-4</v>
      </c>
      <c r="G67" s="128">
        <f t="shared" si="20"/>
        <v>9.4228740038838632E-2</v>
      </c>
      <c r="H67" s="128">
        <f t="shared" si="20"/>
        <v>0.47685453292381974</v>
      </c>
      <c r="I67" s="123">
        <f t="shared" si="18"/>
        <v>1</v>
      </c>
    </row>
    <row r="69" spans="1:12" x14ac:dyDescent="0.25">
      <c r="A69" s="118" t="s">
        <v>8182</v>
      </c>
      <c r="B69" s="65"/>
      <c r="C69" s="65"/>
      <c r="D69" s="65"/>
      <c r="E69" s="65"/>
      <c r="F69" s="65"/>
    </row>
    <row r="70" spans="1:12" x14ac:dyDescent="0.25">
      <c r="A70" s="118"/>
      <c r="B70" s="65"/>
      <c r="C70" s="65"/>
      <c r="D70" s="65"/>
      <c r="E70" s="65"/>
      <c r="F70" s="65"/>
      <c r="G70" s="65" t="s">
        <v>7042</v>
      </c>
      <c r="H70" s="65" t="s">
        <v>7043</v>
      </c>
    </row>
    <row r="71" spans="1:12" x14ac:dyDescent="0.25">
      <c r="A71" s="66" t="s">
        <v>7063</v>
      </c>
      <c r="B71" s="67" t="s">
        <v>65</v>
      </c>
      <c r="C71" s="67" t="s">
        <v>70</v>
      </c>
      <c r="D71" s="67" t="s">
        <v>66</v>
      </c>
      <c r="E71" s="67" t="s">
        <v>8124</v>
      </c>
      <c r="F71" s="67" t="s">
        <v>8125</v>
      </c>
      <c r="G71" s="67" t="s">
        <v>7044</v>
      </c>
      <c r="H71" s="67" t="s">
        <v>7044</v>
      </c>
      <c r="I71" s="67" t="s">
        <v>6996</v>
      </c>
      <c r="J71" s="109" t="s">
        <v>7064</v>
      </c>
      <c r="K71" s="66"/>
      <c r="L71" s="66"/>
    </row>
    <row r="72" spans="1:12" x14ac:dyDescent="0.25">
      <c r="A72" t="s">
        <v>7081</v>
      </c>
      <c r="B72" s="127">
        <f t="shared" ref="B72:H72" si="21">B35</f>
        <v>0.41533502755768931</v>
      </c>
      <c r="C72" s="127">
        <f t="shared" si="21"/>
        <v>0.19887140551476457</v>
      </c>
      <c r="D72" s="127">
        <f t="shared" si="21"/>
        <v>0.10729206214921327</v>
      </c>
      <c r="E72" s="127">
        <f t="shared" si="21"/>
        <v>2.8942223712511539E-2</v>
      </c>
      <c r="F72" s="127">
        <f t="shared" si="21"/>
        <v>1.2671615657844186E-3</v>
      </c>
      <c r="G72" s="127">
        <f t="shared" si="21"/>
        <v>4.0968199717506072E-2</v>
      </c>
      <c r="H72" s="127">
        <f t="shared" si="21"/>
        <v>0.20732391978253073</v>
      </c>
      <c r="I72" s="124">
        <f>SUM(B72:H72)</f>
        <v>1</v>
      </c>
      <c r="J72" t="s">
        <v>7065</v>
      </c>
    </row>
    <row r="73" spans="1:12" x14ac:dyDescent="0.25">
      <c r="A73" t="s">
        <v>7082</v>
      </c>
      <c r="B73" s="124">
        <f t="shared" ref="B73:H73" si="22">B47</f>
        <v>0.46760233397350504</v>
      </c>
      <c r="C73" s="124">
        <f t="shared" si="22"/>
        <v>0.1600623316182046</v>
      </c>
      <c r="D73" s="124">
        <f t="shared" si="22"/>
        <v>2.5342511164311351E-2</v>
      </c>
      <c r="E73" s="124">
        <f t="shared" si="22"/>
        <v>3.5815218712603507E-2</v>
      </c>
      <c r="F73" s="124">
        <f t="shared" si="22"/>
        <v>5.078776027729366E-4</v>
      </c>
      <c r="G73" s="124">
        <f t="shared" si="22"/>
        <v>5.1260504943219445E-2</v>
      </c>
      <c r="H73" s="124">
        <f t="shared" si="22"/>
        <v>0.25940922198538324</v>
      </c>
      <c r="I73" s="124">
        <f>SUM(B73:H73)</f>
        <v>1</v>
      </c>
      <c r="J73" t="s">
        <v>7065</v>
      </c>
    </row>
    <row r="75" spans="1:12" x14ac:dyDescent="0.25">
      <c r="A75" t="s">
        <v>7083</v>
      </c>
      <c r="B75" s="124">
        <f>'Usage Statistics'!D49</f>
        <v>0.24768414693549581</v>
      </c>
      <c r="C75" s="119">
        <v>3728.2423488264121</v>
      </c>
      <c r="D75" t="s">
        <v>7084</v>
      </c>
      <c r="E75" s="125"/>
      <c r="F75" s="126"/>
    </row>
    <row r="76" spans="1:12" x14ac:dyDescent="0.25">
      <c r="A76" t="s">
        <v>7085</v>
      </c>
      <c r="B76" s="124">
        <f>'Usage Statistics'!D50</f>
        <v>0.75231585306450421</v>
      </c>
      <c r="C76" s="119">
        <v>1636.120488961069</v>
      </c>
      <c r="D76" t="s">
        <v>7086</v>
      </c>
      <c r="E76" s="125"/>
      <c r="F76" s="126"/>
    </row>
    <row r="78" spans="1:12" x14ac:dyDescent="0.25">
      <c r="A78" s="121" t="s">
        <v>7074</v>
      </c>
      <c r="B78" s="128">
        <f>(B72*$B75)+(B73*$B76)</f>
        <v>0.45465655077128753</v>
      </c>
      <c r="C78" s="128">
        <f t="shared" ref="C78:H78" si="23">(C72*$B75)+(C73*$B76)</f>
        <v>0.16967472397963068</v>
      </c>
      <c r="D78" s="128">
        <f t="shared" si="23"/>
        <v>4.5640115791753699E-2</v>
      </c>
      <c r="E78" s="128">
        <f t="shared" si="23"/>
        <v>3.4112886809113799E-2</v>
      </c>
      <c r="F78" s="128">
        <f t="shared" si="23"/>
        <v>6.9594020343323806E-4</v>
      </c>
      <c r="G78" s="128">
        <f t="shared" si="23"/>
        <v>4.8711264103388885E-2</v>
      </c>
      <c r="H78" s="128">
        <f t="shared" si="23"/>
        <v>0.2465085183413922</v>
      </c>
      <c r="I78" s="123">
        <f t="shared" ref="I78" si="24">SUM(B78:H78)</f>
        <v>1</v>
      </c>
    </row>
    <row r="80" spans="1:12" x14ac:dyDescent="0.25">
      <c r="A80" s="118" t="s">
        <v>8183</v>
      </c>
      <c r="B80" s="131"/>
      <c r="C80" s="131"/>
      <c r="D80" s="131"/>
      <c r="E80" s="131"/>
      <c r="F80" s="131"/>
      <c r="G80" s="131"/>
      <c r="H80" s="131"/>
    </row>
    <row r="81" spans="1:10" x14ac:dyDescent="0.25">
      <c r="A81" s="118"/>
      <c r="B81" s="65"/>
      <c r="C81" s="65"/>
      <c r="D81" s="65"/>
      <c r="E81" s="65"/>
      <c r="F81" s="65"/>
      <c r="G81" s="65" t="s">
        <v>7042</v>
      </c>
      <c r="H81" s="65" t="s">
        <v>7043</v>
      </c>
    </row>
    <row r="82" spans="1:10" x14ac:dyDescent="0.25">
      <c r="A82" s="66" t="s">
        <v>7063</v>
      </c>
      <c r="B82" s="67" t="s">
        <v>65</v>
      </c>
      <c r="C82" s="67" t="s">
        <v>70</v>
      </c>
      <c r="D82" s="67" t="s">
        <v>66</v>
      </c>
      <c r="E82" s="67" t="s">
        <v>8124</v>
      </c>
      <c r="F82" s="67" t="s">
        <v>8125</v>
      </c>
      <c r="G82" s="67" t="s">
        <v>7044</v>
      </c>
      <c r="H82" s="67" t="s">
        <v>7044</v>
      </c>
      <c r="I82" s="67" t="s">
        <v>6996</v>
      </c>
    </row>
    <row r="83" spans="1:10" x14ac:dyDescent="0.25">
      <c r="A83" t="s">
        <v>7087</v>
      </c>
      <c r="B83" s="119">
        <f>'Usage Statistics'!C23</f>
        <v>0</v>
      </c>
      <c r="C83" s="119">
        <f>'Usage Statistics'!D23</f>
        <v>0</v>
      </c>
      <c r="D83" s="119">
        <f>'Usage Statistics'!E23</f>
        <v>0</v>
      </c>
      <c r="E83" s="119">
        <f>'Usage Statistics'!F23</f>
        <v>0</v>
      </c>
      <c r="F83" s="119">
        <f>'Usage Statistics'!G23</f>
        <v>0</v>
      </c>
      <c r="G83" s="119">
        <f>'Usage Statistics'!H23</f>
        <v>0</v>
      </c>
      <c r="H83" s="119">
        <f>'Usage Statistics'!I23</f>
        <v>8526</v>
      </c>
      <c r="I83" s="120">
        <f>SUM(B83:H83)</f>
        <v>8526</v>
      </c>
    </row>
    <row r="84" spans="1:10" x14ac:dyDescent="0.25">
      <c r="A84" s="121" t="s">
        <v>7066</v>
      </c>
      <c r="B84" s="132">
        <f>B83/$I83</f>
        <v>0</v>
      </c>
      <c r="C84" s="132">
        <f t="shared" ref="C84:H84" si="25">C83/$I83</f>
        <v>0</v>
      </c>
      <c r="D84" s="132">
        <f t="shared" si="25"/>
        <v>0</v>
      </c>
      <c r="E84" s="132">
        <f t="shared" si="25"/>
        <v>0</v>
      </c>
      <c r="F84" s="132">
        <f t="shared" si="25"/>
        <v>0</v>
      </c>
      <c r="G84" s="132">
        <f t="shared" si="25"/>
        <v>0</v>
      </c>
      <c r="H84" s="132">
        <f t="shared" si="25"/>
        <v>1</v>
      </c>
      <c r="I84" s="133">
        <f>SUM(B84:H84)</f>
        <v>1</v>
      </c>
    </row>
    <row r="86" spans="1:10" x14ac:dyDescent="0.25">
      <c r="A86" s="118" t="s">
        <v>8184</v>
      </c>
    </row>
    <row r="87" spans="1:10" x14ac:dyDescent="0.25">
      <c r="A87" s="118"/>
      <c r="B87" s="65"/>
      <c r="C87" s="65"/>
      <c r="D87" s="65"/>
      <c r="E87" s="65"/>
      <c r="F87" s="65"/>
      <c r="G87" s="65" t="s">
        <v>7042</v>
      </c>
      <c r="H87" s="65" t="s">
        <v>7043</v>
      </c>
    </row>
    <row r="88" spans="1:10" x14ac:dyDescent="0.25">
      <c r="A88" s="66" t="s">
        <v>7063</v>
      </c>
      <c r="B88" s="67" t="s">
        <v>65</v>
      </c>
      <c r="C88" s="67" t="s">
        <v>70</v>
      </c>
      <c r="D88" s="67" t="s">
        <v>66</v>
      </c>
      <c r="E88" s="67" t="s">
        <v>8124</v>
      </c>
      <c r="F88" s="67" t="s">
        <v>8125</v>
      </c>
      <c r="G88" s="67" t="s">
        <v>7044</v>
      </c>
      <c r="H88" s="67" t="s">
        <v>7044</v>
      </c>
      <c r="I88" s="68" t="s">
        <v>6996</v>
      </c>
      <c r="J88" s="67" t="s">
        <v>7088</v>
      </c>
    </row>
    <row r="89" spans="1:10" x14ac:dyDescent="0.25">
      <c r="A89" t="s">
        <v>7089</v>
      </c>
      <c r="B89" s="119">
        <f>+'Usage Statistics'!C29</f>
        <v>57064.98090185583</v>
      </c>
      <c r="C89" s="119">
        <f>+'Usage Statistics'!D29</f>
        <v>3128.5248024602079</v>
      </c>
      <c r="D89" s="119">
        <f>+'Usage Statistics'!E29</f>
        <v>10.86</v>
      </c>
      <c r="E89" s="119">
        <f>+'Usage Statistics'!F29</f>
        <v>67.589233397711439</v>
      </c>
      <c r="F89" s="119">
        <f>+'Usage Statistics'!G29</f>
        <v>1.2085821903862886</v>
      </c>
      <c r="G89" s="119">
        <f>+'Usage Statistics'!H29</f>
        <v>0</v>
      </c>
      <c r="I89" s="120">
        <f>SUM(B89:H89)</f>
        <v>60273.163519904134</v>
      </c>
      <c r="J89" s="134">
        <f>'Usage Statistics'!J29</f>
        <v>1</v>
      </c>
    </row>
    <row r="90" spans="1:10" x14ac:dyDescent="0.25">
      <c r="A90" t="s">
        <v>7090</v>
      </c>
      <c r="B90" s="119">
        <f>+'Usage Statistics'!C30</f>
        <v>223.06305304513128</v>
      </c>
      <c r="C90" s="119">
        <f>+'Usage Statistics'!D30</f>
        <v>42.921253676022722</v>
      </c>
      <c r="D90" s="119">
        <f>+'Usage Statistics'!E30</f>
        <v>1</v>
      </c>
      <c r="E90" s="119">
        <f>+'Usage Statistics'!F30</f>
        <v>1.500286433036937</v>
      </c>
      <c r="F90" s="119">
        <f>+'Usage Statistics'!G30</f>
        <v>0</v>
      </c>
      <c r="G90" s="119">
        <f>+'Usage Statistics'!H30</f>
        <v>0</v>
      </c>
      <c r="I90" s="120">
        <f t="shared" ref="I90:I100" si="26">SUM(B90:H90)</f>
        <v>268.48459315419092</v>
      </c>
      <c r="J90" s="134">
        <f>'Usage Statistics'!J30</f>
        <v>1.5</v>
      </c>
    </row>
    <row r="91" spans="1:10" x14ac:dyDescent="0.25">
      <c r="A91" t="s">
        <v>7091</v>
      </c>
      <c r="B91" s="119">
        <f>+'Usage Statistics'!C31</f>
        <v>2837.2316081103413</v>
      </c>
      <c r="C91" s="119">
        <f>+'Usage Statistics'!D31</f>
        <v>1230.8944113419152</v>
      </c>
      <c r="D91" s="119">
        <f>+'Usage Statistics'!E31</f>
        <v>9.8400000000000016</v>
      </c>
      <c r="E91" s="119">
        <f>+'Usage Statistics'!F31</f>
        <v>35.59791292714921</v>
      </c>
      <c r="F91" s="119">
        <f>+'Usage Statistics'!G31</f>
        <v>1.9642112045828941</v>
      </c>
      <c r="G91" s="119">
        <f>+'Usage Statistics'!H31</f>
        <v>0</v>
      </c>
      <c r="I91" s="120">
        <f t="shared" si="26"/>
        <v>4115.5281435839888</v>
      </c>
      <c r="J91" s="134">
        <f>'Usage Statistics'!J31</f>
        <v>2.5</v>
      </c>
    </row>
    <row r="92" spans="1:10" x14ac:dyDescent="0.25">
      <c r="A92" t="s">
        <v>7092</v>
      </c>
      <c r="B92" s="119">
        <f>+'Usage Statistics'!C32</f>
        <v>18.25323430551904</v>
      </c>
      <c r="C92" s="119">
        <f>+'Usage Statistics'!D32</f>
        <v>352.97618820630532</v>
      </c>
      <c r="D92" s="119">
        <f>+'Usage Statistics'!E32</f>
        <v>1.9600000000000006</v>
      </c>
      <c r="E92" s="119">
        <f>+'Usage Statistics'!F32</f>
        <v>21.88545195250779</v>
      </c>
      <c r="F92" s="119">
        <f>+'Usage Statistics'!G32</f>
        <v>0</v>
      </c>
      <c r="G92" s="119">
        <f>+'Usage Statistics'!H32</f>
        <v>0</v>
      </c>
      <c r="I92" s="120">
        <f t="shared" si="26"/>
        <v>395.07487446433208</v>
      </c>
      <c r="J92" s="134">
        <f>'Usage Statistics'!J32</f>
        <v>5</v>
      </c>
    </row>
    <row r="93" spans="1:10" x14ac:dyDescent="0.25">
      <c r="A93" t="s">
        <v>7093</v>
      </c>
      <c r="B93" s="119">
        <f>+'Usage Statistics'!C33</f>
        <v>9.1037446140497966</v>
      </c>
      <c r="C93" s="119">
        <f>+'Usage Statistics'!D33</f>
        <v>965.92185997007084</v>
      </c>
      <c r="D93" s="119">
        <f>+'Usage Statistics'!E33</f>
        <v>69.139999999999986</v>
      </c>
      <c r="E93" s="119">
        <f>+'Usage Statistics'!F33</f>
        <v>176.35377576864525</v>
      </c>
      <c r="F93" s="119">
        <f>+'Usage Statistics'!G33</f>
        <v>4.739258703981343</v>
      </c>
      <c r="G93" s="119">
        <f>+'Usage Statistics'!H33</f>
        <v>0</v>
      </c>
      <c r="I93" s="120">
        <f t="shared" si="26"/>
        <v>1225.2586390567469</v>
      </c>
      <c r="J93" s="134">
        <f>'Usage Statistics'!J33</f>
        <v>8</v>
      </c>
    </row>
    <row r="94" spans="1:10" x14ac:dyDescent="0.25">
      <c r="A94" t="s">
        <v>7094</v>
      </c>
      <c r="B94" s="119">
        <f>+'Usage Statistics'!C34</f>
        <v>0</v>
      </c>
      <c r="C94" s="119">
        <f>+'Usage Statistics'!D34</f>
        <v>0.96322839043985675</v>
      </c>
      <c r="D94" s="119">
        <f>+'Usage Statistics'!E34</f>
        <v>5</v>
      </c>
      <c r="E94" s="119">
        <f>+'Usage Statistics'!F34</f>
        <v>2.2095877345456172</v>
      </c>
      <c r="F94" s="119">
        <f>+'Usage Statistics'!G34</f>
        <v>1.1623233290762027</v>
      </c>
      <c r="G94" s="119">
        <f>+'Usage Statistics'!H34</f>
        <v>0</v>
      </c>
      <c r="I94" s="120">
        <f t="shared" si="26"/>
        <v>9.335139454061677</v>
      </c>
      <c r="J94" s="134">
        <f>'Usage Statistics'!J34</f>
        <v>16</v>
      </c>
    </row>
    <row r="95" spans="1:10" x14ac:dyDescent="0.25">
      <c r="A95" t="s">
        <v>7095</v>
      </c>
      <c r="B95" s="119">
        <f>+'Usage Statistics'!C35</f>
        <v>0</v>
      </c>
      <c r="C95" s="119">
        <f>+'Usage Statistics'!D35</f>
        <v>6.3771238730980739</v>
      </c>
      <c r="D95" s="119">
        <f>+'Usage Statistics'!E35</f>
        <v>8.8400000000000016</v>
      </c>
      <c r="E95" s="119">
        <f>+'Usage Statistics'!F35</f>
        <v>1.4967070472358095</v>
      </c>
      <c r="F95" s="119">
        <f>+'Usage Statistics'!G35</f>
        <v>1.8658078368223301E-2</v>
      </c>
      <c r="G95" s="119">
        <f>+'Usage Statistics'!H35</f>
        <v>0</v>
      </c>
      <c r="I95" s="120">
        <f t="shared" si="26"/>
        <v>16.732488998702106</v>
      </c>
      <c r="J95" s="134">
        <f>'Usage Statistics'!J35</f>
        <v>25</v>
      </c>
    </row>
    <row r="96" spans="1:10" x14ac:dyDescent="0.25">
      <c r="A96" t="s">
        <v>7096</v>
      </c>
      <c r="B96" s="119">
        <f>+'Usage Statistics'!C36</f>
        <v>0</v>
      </c>
      <c r="C96" s="119">
        <f>+'Usage Statistics'!D36</f>
        <v>1.9748035501777659</v>
      </c>
      <c r="D96" s="119">
        <f>+'Usage Statistics'!E36</f>
        <v>2.9600000000000009</v>
      </c>
      <c r="E96" s="119">
        <f>+'Usage Statistics'!F36</f>
        <v>0</v>
      </c>
      <c r="F96" s="119">
        <f>+'Usage Statistics'!G36</f>
        <v>0.43963097155126135</v>
      </c>
      <c r="G96" s="119">
        <f>+'Usage Statistics'!H36</f>
        <v>0</v>
      </c>
      <c r="I96" s="120">
        <f t="shared" si="26"/>
        <v>5.3744345217290279</v>
      </c>
      <c r="J96" s="134">
        <f>'Usage Statistics'!J36</f>
        <v>50</v>
      </c>
    </row>
    <row r="97" spans="1:10" x14ac:dyDescent="0.25">
      <c r="A97" t="s">
        <v>7097</v>
      </c>
      <c r="B97" s="119">
        <f>+'Usage Statistics'!C37</f>
        <v>0</v>
      </c>
      <c r="C97" s="119">
        <f>+'Usage Statistics'!D37</f>
        <v>0</v>
      </c>
      <c r="D97" s="119">
        <f>+'Usage Statistics'!E37</f>
        <v>0</v>
      </c>
      <c r="E97" s="119">
        <f>+'Usage Statistics'!F37</f>
        <v>0</v>
      </c>
      <c r="F97" s="119">
        <f>+'Usage Statistics'!G37</f>
        <v>0</v>
      </c>
      <c r="G97" s="119">
        <f>+'Usage Statistics'!H37</f>
        <v>0</v>
      </c>
      <c r="I97" s="120">
        <f t="shared" si="26"/>
        <v>0</v>
      </c>
      <c r="J97" s="134">
        <f>'Usage Statistics'!J37</f>
        <v>80</v>
      </c>
    </row>
    <row r="98" spans="1:10" x14ac:dyDescent="0.25">
      <c r="A98" t="s">
        <v>7098</v>
      </c>
      <c r="B98" s="119">
        <f>+'Usage Statistics'!C38</f>
        <v>0</v>
      </c>
      <c r="C98" s="119">
        <f>+'Usage Statistics'!D38</f>
        <v>0</v>
      </c>
      <c r="D98" s="119">
        <f>+'Usage Statistics'!E38</f>
        <v>1.9800000000000004</v>
      </c>
      <c r="E98" s="119">
        <f>+'Usage Statistics'!F38</f>
        <v>0</v>
      </c>
      <c r="F98" s="119">
        <f>+'Usage Statistics'!G38</f>
        <v>0</v>
      </c>
      <c r="G98" s="119">
        <f>+'Usage Statistics'!H38</f>
        <v>0</v>
      </c>
      <c r="I98" s="120">
        <f t="shared" si="26"/>
        <v>1.9800000000000004</v>
      </c>
      <c r="J98" s="134">
        <f>'Usage Statistics'!J38</f>
        <v>115</v>
      </c>
    </row>
    <row r="99" spans="1:10" x14ac:dyDescent="0.25">
      <c r="A99" t="s">
        <v>7099</v>
      </c>
      <c r="B99" s="119">
        <f>+'Usage Statistics'!C39</f>
        <v>0</v>
      </c>
      <c r="C99" s="119">
        <f>+'Usage Statistics'!D39</f>
        <v>0</v>
      </c>
      <c r="D99" s="119">
        <f>+'Usage Statistics'!E39</f>
        <v>0</v>
      </c>
      <c r="E99" s="119">
        <f>+'Usage Statistics'!F39</f>
        <v>0</v>
      </c>
      <c r="F99" s="119">
        <f>+'Usage Statistics'!G39</f>
        <v>0</v>
      </c>
      <c r="G99" s="119">
        <f>+'Usage Statistics'!H39</f>
        <v>0</v>
      </c>
      <c r="I99" s="120">
        <f t="shared" si="26"/>
        <v>0</v>
      </c>
      <c r="J99" s="134">
        <f>'Usage Statistics'!J39</f>
        <v>215</v>
      </c>
    </row>
    <row r="100" spans="1:10" x14ac:dyDescent="0.25">
      <c r="A100" s="66" t="s">
        <v>7100</v>
      </c>
      <c r="B100" s="136">
        <f>+'Usage Statistics'!C40</f>
        <v>0</v>
      </c>
      <c r="C100" s="136">
        <f>+'Usage Statistics'!D40</f>
        <v>0</v>
      </c>
      <c r="D100" s="136">
        <f>+'Usage Statistics'!E40</f>
        <v>0</v>
      </c>
      <c r="E100" s="136">
        <f>+'Usage Statistics'!F40</f>
        <v>0</v>
      </c>
      <c r="F100" s="136">
        <f>+'Usage Statistics'!G40</f>
        <v>0</v>
      </c>
      <c r="G100" s="136">
        <f>+'Usage Statistics'!H40</f>
        <v>0</v>
      </c>
      <c r="H100" s="66"/>
      <c r="I100" s="137">
        <f t="shared" si="26"/>
        <v>0</v>
      </c>
      <c r="J100" s="138">
        <f>'Usage Statistics'!J40</f>
        <v>458</v>
      </c>
    </row>
    <row r="101" spans="1:10" x14ac:dyDescent="0.25">
      <c r="A101" t="s">
        <v>6996</v>
      </c>
      <c r="B101" s="120">
        <f t="shared" ref="B101:G101" si="27">SUMPRODUCT(B89:B100,$J89:$J100)</f>
        <v>64656.750630139373</v>
      </c>
      <c r="C101" s="120">
        <f t="shared" si="27"/>
        <v>16035.9784607045</v>
      </c>
      <c r="D101" s="120">
        <f t="shared" si="27"/>
        <v>1276.58</v>
      </c>
      <c r="E101" s="120">
        <f t="shared" si="27"/>
        <v>1751.8629912104661</v>
      </c>
      <c r="F101" s="120">
        <f t="shared" si="27"/>
        <v>85.078353635682163</v>
      </c>
      <c r="G101" s="120">
        <f t="shared" si="27"/>
        <v>0</v>
      </c>
      <c r="H101" s="120">
        <f t="shared" ref="H101:I101" si="28">SUMPRODUCT(H89:H100,$J89:$J100)</f>
        <v>0</v>
      </c>
      <c r="I101" s="120">
        <f t="shared" si="28"/>
        <v>83806.250435690017</v>
      </c>
      <c r="J101" s="112" t="s">
        <v>7101</v>
      </c>
    </row>
    <row r="102" spans="1:10" x14ac:dyDescent="0.25">
      <c r="A102" s="121" t="s">
        <v>7066</v>
      </c>
      <c r="B102" s="132">
        <f>B101/$I101</f>
        <v>0.77150272556048427</v>
      </c>
      <c r="C102" s="132">
        <f t="shared" ref="C102:H102" si="29">C101/$I101</f>
        <v>0.19134585281332864</v>
      </c>
      <c r="D102" s="132">
        <f t="shared" si="29"/>
        <v>1.5232515395490731E-2</v>
      </c>
      <c r="E102" s="132">
        <f t="shared" si="29"/>
        <v>2.0903727133751014E-2</v>
      </c>
      <c r="F102" s="132">
        <f t="shared" si="29"/>
        <v>1.0151790969453801E-3</v>
      </c>
      <c r="G102" s="132">
        <f t="shared" si="29"/>
        <v>0</v>
      </c>
      <c r="H102" s="132">
        <f t="shared" si="29"/>
        <v>0</v>
      </c>
      <c r="I102" s="133">
        <f>SUM(B102:H102)</f>
        <v>1</v>
      </c>
    </row>
    <row r="104" spans="1:10" x14ac:dyDescent="0.25">
      <c r="A104" s="118" t="s">
        <v>8185</v>
      </c>
      <c r="I104" s="130"/>
    </row>
    <row r="105" spans="1:10" x14ac:dyDescent="0.25">
      <c r="A105" s="118"/>
      <c r="B105" s="65"/>
      <c r="C105" s="65"/>
      <c r="D105" s="65"/>
      <c r="E105" s="65"/>
      <c r="F105" s="65"/>
      <c r="G105" s="65" t="s">
        <v>7042</v>
      </c>
      <c r="H105" s="65" t="s">
        <v>7043</v>
      </c>
    </row>
    <row r="106" spans="1:10" x14ac:dyDescent="0.25">
      <c r="A106" s="66" t="s">
        <v>7063</v>
      </c>
      <c r="B106" s="67" t="s">
        <v>65</v>
      </c>
      <c r="C106" s="67" t="s">
        <v>70</v>
      </c>
      <c r="D106" s="67" t="s">
        <v>66</v>
      </c>
      <c r="E106" s="67" t="s">
        <v>8124</v>
      </c>
      <c r="F106" s="67" t="s">
        <v>8125</v>
      </c>
      <c r="G106" s="67" t="s">
        <v>7044</v>
      </c>
      <c r="H106" s="67" t="s">
        <v>7044</v>
      </c>
      <c r="I106" s="68" t="s">
        <v>6996</v>
      </c>
      <c r="J106" s="67" t="s">
        <v>7088</v>
      </c>
    </row>
    <row r="107" spans="1:10" x14ac:dyDescent="0.25">
      <c r="A107" t="s">
        <v>7089</v>
      </c>
      <c r="B107" s="119">
        <f>+'Usage Statistics'!C29</f>
        <v>57064.98090185583</v>
      </c>
      <c r="C107" s="119">
        <f>+'Usage Statistics'!D29</f>
        <v>3128.5248024602079</v>
      </c>
      <c r="D107" s="119">
        <f>+'Usage Statistics'!E29</f>
        <v>10.86</v>
      </c>
      <c r="E107" s="119">
        <f>+'Usage Statistics'!F29</f>
        <v>67.589233397711439</v>
      </c>
      <c r="F107" s="119">
        <f>+'Usage Statistics'!G29</f>
        <v>1.2085821903862886</v>
      </c>
      <c r="G107" s="119">
        <f>LinkFromRevenues!P50</f>
        <v>0</v>
      </c>
      <c r="I107" s="120">
        <f t="shared" ref="I107:I118" si="30">SUM(B107:H107)</f>
        <v>60273.163519904134</v>
      </c>
      <c r="J107" s="134">
        <f>'Usage Statistics'!K29</f>
        <v>1</v>
      </c>
    </row>
    <row r="108" spans="1:10" x14ac:dyDescent="0.25">
      <c r="A108" t="s">
        <v>7090</v>
      </c>
      <c r="B108" s="119">
        <f>+'Usage Statistics'!C30</f>
        <v>223.06305304513128</v>
      </c>
      <c r="C108" s="119">
        <f>+'Usage Statistics'!D30</f>
        <v>42.921253676022722</v>
      </c>
      <c r="D108" s="119">
        <f>+'Usage Statistics'!E30</f>
        <v>1</v>
      </c>
      <c r="E108" s="119">
        <f>+'Usage Statistics'!F30</f>
        <v>1.500286433036937</v>
      </c>
      <c r="F108" s="119">
        <f>+'Usage Statistics'!G30</f>
        <v>0</v>
      </c>
      <c r="G108" s="119">
        <f>LinkFromRevenues!P51</f>
        <v>0</v>
      </c>
      <c r="I108" s="120">
        <f t="shared" si="30"/>
        <v>268.48459315419092</v>
      </c>
      <c r="J108" s="134">
        <f>'Usage Statistics'!K30</f>
        <v>1</v>
      </c>
    </row>
    <row r="109" spans="1:10" x14ac:dyDescent="0.25">
      <c r="A109" t="s">
        <v>7091</v>
      </c>
      <c r="B109" s="119">
        <f>+'Usage Statistics'!C31</f>
        <v>2837.2316081103413</v>
      </c>
      <c r="C109" s="119">
        <f>+'Usage Statistics'!D31</f>
        <v>1230.8944113419152</v>
      </c>
      <c r="D109" s="119">
        <f>+'Usage Statistics'!E31</f>
        <v>9.8400000000000016</v>
      </c>
      <c r="E109" s="119">
        <f>+'Usage Statistics'!F31</f>
        <v>35.59791292714921</v>
      </c>
      <c r="F109" s="119">
        <f>+'Usage Statistics'!G31</f>
        <v>1.9642112045828941</v>
      </c>
      <c r="G109" s="119">
        <f>LinkFromRevenues!P52</f>
        <v>0</v>
      </c>
      <c r="I109" s="120">
        <f t="shared" si="30"/>
        <v>4115.5281435839888</v>
      </c>
      <c r="J109" s="134">
        <f>'Usage Statistics'!K31</f>
        <v>1.4</v>
      </c>
    </row>
    <row r="110" spans="1:10" x14ac:dyDescent="0.25">
      <c r="A110" t="s">
        <v>7092</v>
      </c>
      <c r="B110" s="119">
        <f>+'Usage Statistics'!C32</f>
        <v>18.25323430551904</v>
      </c>
      <c r="C110" s="119">
        <f>+'Usage Statistics'!D32</f>
        <v>352.97618820630532</v>
      </c>
      <c r="D110" s="119">
        <f>+'Usage Statistics'!E32</f>
        <v>1.9600000000000006</v>
      </c>
      <c r="E110" s="119">
        <f>+'Usage Statistics'!F32</f>
        <v>21.88545195250779</v>
      </c>
      <c r="F110" s="119">
        <f>+'Usage Statistics'!G32</f>
        <v>0</v>
      </c>
      <c r="G110" s="119">
        <f>LinkFromRevenues!P53</f>
        <v>0</v>
      </c>
      <c r="I110" s="120">
        <f t="shared" si="30"/>
        <v>395.07487446433208</v>
      </c>
      <c r="J110" s="134">
        <f>'Usage Statistics'!K32</f>
        <v>1.8</v>
      </c>
    </row>
    <row r="111" spans="1:10" x14ac:dyDescent="0.25">
      <c r="A111" t="s">
        <v>7093</v>
      </c>
      <c r="B111" s="119">
        <f>+'Usage Statistics'!C33</f>
        <v>9.1037446140497966</v>
      </c>
      <c r="C111" s="119">
        <f>+'Usage Statistics'!D33</f>
        <v>965.92185997007084</v>
      </c>
      <c r="D111" s="119">
        <f>+'Usage Statistics'!E33</f>
        <v>69.139999999999986</v>
      </c>
      <c r="E111" s="119">
        <f>+'Usage Statistics'!F33</f>
        <v>176.35377576864525</v>
      </c>
      <c r="F111" s="119">
        <f>+'Usage Statistics'!G33</f>
        <v>4.739258703981343</v>
      </c>
      <c r="G111" s="119">
        <f>LinkFromRevenues!P54</f>
        <v>26</v>
      </c>
      <c r="I111" s="120">
        <f t="shared" si="30"/>
        <v>1251.2586390567469</v>
      </c>
      <c r="J111" s="134">
        <f>'Usage Statistics'!K33</f>
        <v>2.5</v>
      </c>
    </row>
    <row r="112" spans="1:10" x14ac:dyDescent="0.25">
      <c r="A112" t="s">
        <v>7094</v>
      </c>
      <c r="B112" s="119">
        <f>+'Usage Statistics'!C34</f>
        <v>0</v>
      </c>
      <c r="C112" s="119">
        <f>+'Usage Statistics'!D34</f>
        <v>0.96322839043985675</v>
      </c>
      <c r="D112" s="119">
        <f>+'Usage Statistics'!E34</f>
        <v>5</v>
      </c>
      <c r="E112" s="119">
        <f>+'Usage Statistics'!F34</f>
        <v>2.2095877345456172</v>
      </c>
      <c r="F112" s="119">
        <f>+'Usage Statistics'!G34</f>
        <v>1.1623233290762027</v>
      </c>
      <c r="G112" s="119">
        <f>LinkFromRevenues!P55</f>
        <v>4</v>
      </c>
      <c r="I112" s="120">
        <f t="shared" si="30"/>
        <v>13.335139454061677</v>
      </c>
      <c r="J112" s="134">
        <f>'Usage Statistics'!K34</f>
        <v>3</v>
      </c>
    </row>
    <row r="113" spans="1:10" x14ac:dyDescent="0.25">
      <c r="A113" t="s">
        <v>7095</v>
      </c>
      <c r="B113" s="119">
        <f>+'Usage Statistics'!C35</f>
        <v>0</v>
      </c>
      <c r="C113" s="119">
        <f>+'Usage Statistics'!D35</f>
        <v>6.3771238730980739</v>
      </c>
      <c r="D113" s="119">
        <f>+'Usage Statistics'!E35</f>
        <v>8.8400000000000016</v>
      </c>
      <c r="E113" s="119">
        <f>+'Usage Statistics'!F35</f>
        <v>1.4967070472358095</v>
      </c>
      <c r="F113" s="119">
        <f>+'Usage Statistics'!G35</f>
        <v>1.8658078368223301E-2</v>
      </c>
      <c r="G113" s="119">
        <f>LinkFromRevenues!P56</f>
        <v>141</v>
      </c>
      <c r="I113" s="120">
        <f t="shared" si="30"/>
        <v>157.73248899870211</v>
      </c>
      <c r="J113" s="134">
        <f>'Usage Statistics'!K35</f>
        <v>4</v>
      </c>
    </row>
    <row r="114" spans="1:10" x14ac:dyDescent="0.25">
      <c r="A114" t="s">
        <v>7096</v>
      </c>
      <c r="B114" s="119">
        <f>+'Usage Statistics'!C36</f>
        <v>0</v>
      </c>
      <c r="C114" s="119">
        <f>+'Usage Statistics'!D36</f>
        <v>1.9748035501777659</v>
      </c>
      <c r="D114" s="119">
        <f>+'Usage Statistics'!E36</f>
        <v>2.9600000000000009</v>
      </c>
      <c r="E114" s="119">
        <f>+'Usage Statistics'!F36</f>
        <v>0</v>
      </c>
      <c r="F114" s="119">
        <f>+'Usage Statistics'!G36</f>
        <v>0.43963097155126135</v>
      </c>
      <c r="G114" s="119">
        <f>LinkFromRevenues!P57</f>
        <v>608</v>
      </c>
      <c r="I114" s="120">
        <f t="shared" si="30"/>
        <v>613.37443452172897</v>
      </c>
      <c r="J114" s="134">
        <f>'Usage Statistics'!K36</f>
        <v>5</v>
      </c>
    </row>
    <row r="115" spans="1:10" x14ac:dyDescent="0.25">
      <c r="A115" t="s">
        <v>7097</v>
      </c>
      <c r="B115" s="119">
        <f>+'Usage Statistics'!C37</f>
        <v>0</v>
      </c>
      <c r="C115" s="119">
        <f>+'Usage Statistics'!D37</f>
        <v>0</v>
      </c>
      <c r="D115" s="119">
        <f>+'Usage Statistics'!E37</f>
        <v>0</v>
      </c>
      <c r="E115" s="119">
        <f>+'Usage Statistics'!F37</f>
        <v>0</v>
      </c>
      <c r="F115" s="119">
        <f>+'Usage Statistics'!G37</f>
        <v>0</v>
      </c>
      <c r="G115" s="119">
        <f>LinkFromRevenues!P58</f>
        <v>395</v>
      </c>
      <c r="I115" s="120">
        <f t="shared" si="30"/>
        <v>395</v>
      </c>
      <c r="J115" s="134">
        <f>'Usage Statistics'!K37</f>
        <v>6</v>
      </c>
    </row>
    <row r="116" spans="1:10" x14ac:dyDescent="0.25">
      <c r="A116" t="s">
        <v>7098</v>
      </c>
      <c r="B116" s="119">
        <f>+'Usage Statistics'!C38</f>
        <v>0</v>
      </c>
      <c r="C116" s="119">
        <f>+'Usage Statistics'!D38</f>
        <v>0</v>
      </c>
      <c r="D116" s="119">
        <f>+'Usage Statistics'!E38</f>
        <v>1.9800000000000004</v>
      </c>
      <c r="E116" s="119">
        <f>+'Usage Statistics'!F38</f>
        <v>0</v>
      </c>
      <c r="F116" s="119">
        <f>+'Usage Statistics'!G38</f>
        <v>0</v>
      </c>
      <c r="G116" s="119">
        <f>LinkFromRevenues!P59</f>
        <v>22</v>
      </c>
      <c r="I116" s="120">
        <f t="shared" si="30"/>
        <v>23.98</v>
      </c>
      <c r="J116" s="134">
        <f>'Usage Statistics'!K38</f>
        <v>6.5</v>
      </c>
    </row>
    <row r="117" spans="1:10" x14ac:dyDescent="0.25">
      <c r="A117" t="s">
        <v>7099</v>
      </c>
      <c r="B117" s="119">
        <f>+'Usage Statistics'!C39</f>
        <v>0</v>
      </c>
      <c r="C117" s="119">
        <f>+'Usage Statistics'!D39</f>
        <v>0</v>
      </c>
      <c r="D117" s="119">
        <f>+'Usage Statistics'!E39</f>
        <v>0</v>
      </c>
      <c r="E117" s="119">
        <f>+'Usage Statistics'!F39</f>
        <v>0</v>
      </c>
      <c r="F117" s="119">
        <f>+'Usage Statistics'!G39</f>
        <v>0</v>
      </c>
      <c r="G117" s="119">
        <f>LinkFromRevenues!P60</f>
        <v>7</v>
      </c>
      <c r="I117" s="120">
        <f t="shared" si="30"/>
        <v>7</v>
      </c>
      <c r="J117" s="134">
        <f>'Usage Statistics'!K39</f>
        <v>7</v>
      </c>
    </row>
    <row r="118" spans="1:10" x14ac:dyDescent="0.25">
      <c r="A118" s="66" t="s">
        <v>7100</v>
      </c>
      <c r="B118" s="136">
        <f>+'Usage Statistics'!C40</f>
        <v>0</v>
      </c>
      <c r="C118" s="136">
        <f>+'Usage Statistics'!D40</f>
        <v>0</v>
      </c>
      <c r="D118" s="136">
        <f>+'Usage Statistics'!E40</f>
        <v>0</v>
      </c>
      <c r="E118" s="136">
        <f>+'Usage Statistics'!F40</f>
        <v>0</v>
      </c>
      <c r="F118" s="136">
        <f>+'Usage Statistics'!G40</f>
        <v>0</v>
      </c>
      <c r="G118" s="136">
        <f>+'Usage Statistics'!H40</f>
        <v>0</v>
      </c>
      <c r="H118" s="66"/>
      <c r="I118" s="137">
        <f t="shared" si="30"/>
        <v>0</v>
      </c>
      <c r="J118" s="138">
        <f>'Usage Statistics'!K40</f>
        <v>7</v>
      </c>
    </row>
    <row r="119" spans="1:10" x14ac:dyDescent="0.25">
      <c r="A119" t="s">
        <v>6996</v>
      </c>
      <c r="B119" s="120">
        <f>SUMPRODUCT(B107:B118,$J107:$J118)</f>
        <v>61315.783389540498</v>
      </c>
      <c r="C119" s="120">
        <f t="shared" ref="C119:G119" si="31">SUMPRODUCT(C107:C118,$J107:$J118)</f>
        <v>7983.1322191260406</v>
      </c>
      <c r="D119" s="120">
        <f t="shared" si="31"/>
        <v>280.04399999999998</v>
      </c>
      <c r="E119" s="120">
        <f t="shared" si="31"/>
        <v>611.82044225746449</v>
      </c>
      <c r="F119" s="120">
        <f t="shared" si="31"/>
        <v>21.566381795213506</v>
      </c>
      <c r="G119" s="120">
        <f t="shared" si="31"/>
        <v>6243</v>
      </c>
      <c r="H119" s="120">
        <f t="shared" ref="H119:I119" si="32">SUMPRODUCT(H107:H118,$J107:$J118)</f>
        <v>0</v>
      </c>
      <c r="I119" s="120">
        <f t="shared" si="32"/>
        <v>76455.34643271922</v>
      </c>
      <c r="J119" s="112" t="s">
        <v>7101</v>
      </c>
    </row>
    <row r="120" spans="1:10" x14ac:dyDescent="0.25">
      <c r="A120" s="121" t="s">
        <v>7066</v>
      </c>
      <c r="B120" s="132">
        <f>B119/$I119</f>
        <v>0.80198163046057802</v>
      </c>
      <c r="C120" s="132">
        <f>C119/$I119</f>
        <v>0.10441561763311354</v>
      </c>
      <c r="D120" s="132">
        <f t="shared" ref="D120:H120" si="33">D119/$I119</f>
        <v>3.6628439091102539E-3</v>
      </c>
      <c r="E120" s="132">
        <f t="shared" si="33"/>
        <v>8.0023238505088339E-3</v>
      </c>
      <c r="F120" s="132">
        <f t="shared" si="33"/>
        <v>2.8207813843590315E-4</v>
      </c>
      <c r="G120" s="132">
        <f t="shared" si="33"/>
        <v>8.1655506008253415E-2</v>
      </c>
      <c r="H120" s="132">
        <f t="shared" si="33"/>
        <v>0</v>
      </c>
      <c r="I120" s="133">
        <f>SUM(B120:H120)</f>
        <v>1</v>
      </c>
    </row>
    <row r="122" spans="1:10" x14ac:dyDescent="0.25">
      <c r="A122" s="118" t="s">
        <v>8186</v>
      </c>
      <c r="B122" s="131"/>
      <c r="C122" s="131"/>
      <c r="D122" s="131"/>
      <c r="E122" s="131"/>
      <c r="F122" s="131"/>
      <c r="G122" s="131"/>
      <c r="H122" s="131"/>
    </row>
    <row r="123" spans="1:10" x14ac:dyDescent="0.25">
      <c r="A123" s="118"/>
      <c r="B123" s="65"/>
      <c r="C123" s="65"/>
      <c r="D123" s="65"/>
      <c r="E123" s="65"/>
      <c r="F123" s="65"/>
      <c r="G123" s="65" t="s">
        <v>7042</v>
      </c>
      <c r="H123" s="65" t="s">
        <v>7043</v>
      </c>
    </row>
    <row r="124" spans="1:10" x14ac:dyDescent="0.25">
      <c r="A124" s="66" t="s">
        <v>7063</v>
      </c>
      <c r="B124" s="67" t="s">
        <v>65</v>
      </c>
      <c r="C124" s="67" t="s">
        <v>70</v>
      </c>
      <c r="D124" s="67" t="s">
        <v>66</v>
      </c>
      <c r="E124" s="67" t="s">
        <v>8124</v>
      </c>
      <c r="F124" s="67" t="s">
        <v>8125</v>
      </c>
      <c r="G124" s="67" t="s">
        <v>7044</v>
      </c>
      <c r="H124" s="67" t="s">
        <v>7044</v>
      </c>
      <c r="I124" s="67" t="s">
        <v>6996</v>
      </c>
    </row>
    <row r="125" spans="1:10" x14ac:dyDescent="0.25">
      <c r="A125" t="s">
        <v>7102</v>
      </c>
      <c r="B125" s="119">
        <f>'Usage Statistics'!C22</f>
        <v>59947.978395061735</v>
      </c>
      <c r="C125" s="119">
        <f>'Usage Statistics'!D22</f>
        <v>5453</v>
      </c>
      <c r="D125" s="119">
        <f>'Usage Statistics'!E22</f>
        <v>83</v>
      </c>
      <c r="E125" s="119">
        <f>'Usage Statistics'!F22</f>
        <v>299</v>
      </c>
      <c r="F125" s="119">
        <f>'Usage Statistics'!G22</f>
        <v>13</v>
      </c>
      <c r="G125" s="119">
        <f>'Usage Statistics'!H22</f>
        <v>1203</v>
      </c>
      <c r="H125" s="119">
        <f>'Usage Statistics'!I22</f>
        <v>0</v>
      </c>
      <c r="I125" s="120">
        <f>SUM(B125:H125)</f>
        <v>66998.978395061742</v>
      </c>
    </row>
    <row r="126" spans="1:10" x14ac:dyDescent="0.25">
      <c r="A126" s="121" t="s">
        <v>7066</v>
      </c>
      <c r="B126" s="132">
        <f>B125/$I125</f>
        <v>0.89475958934144417</v>
      </c>
      <c r="C126" s="132">
        <f t="shared" ref="C126:H126" si="34">C125/$I125</f>
        <v>8.1389300712112367E-2</v>
      </c>
      <c r="D126" s="132">
        <f t="shared" si="34"/>
        <v>1.2388248595461813E-3</v>
      </c>
      <c r="E126" s="132">
        <f t="shared" si="34"/>
        <v>4.4627546145097376E-3</v>
      </c>
      <c r="F126" s="132">
        <f t="shared" si="34"/>
        <v>1.9403280932651034E-4</v>
      </c>
      <c r="G126" s="132">
        <f>G125/$I125</f>
        <v>1.7955497663060916E-2</v>
      </c>
      <c r="H126" s="132">
        <f t="shared" si="34"/>
        <v>0</v>
      </c>
      <c r="I126" s="133">
        <f>SUM(B126:H126)</f>
        <v>0.99999999999999989</v>
      </c>
    </row>
    <row r="128" spans="1:10" x14ac:dyDescent="0.25">
      <c r="A128" s="118" t="s">
        <v>8187</v>
      </c>
      <c r="B128" s="65"/>
      <c r="C128" s="65"/>
      <c r="D128" s="65"/>
      <c r="E128" s="65"/>
      <c r="F128" s="65"/>
    </row>
    <row r="129" spans="1:9" x14ac:dyDescent="0.25">
      <c r="A129" s="118"/>
      <c r="B129" s="65"/>
      <c r="C129" s="65"/>
      <c r="D129" s="65"/>
      <c r="E129" s="65"/>
      <c r="F129" s="65"/>
      <c r="G129" s="65" t="s">
        <v>7042</v>
      </c>
      <c r="H129" s="65" t="s">
        <v>7043</v>
      </c>
    </row>
    <row r="130" spans="1:9" x14ac:dyDescent="0.25">
      <c r="A130" s="66" t="s">
        <v>7063</v>
      </c>
      <c r="B130" s="67" t="s">
        <v>65</v>
      </c>
      <c r="C130" s="67" t="s">
        <v>70</v>
      </c>
      <c r="D130" s="67" t="s">
        <v>66</v>
      </c>
      <c r="E130" s="67" t="s">
        <v>8124</v>
      </c>
      <c r="F130" s="67" t="s">
        <v>8125</v>
      </c>
      <c r="G130" s="67" t="s">
        <v>7044</v>
      </c>
      <c r="H130" s="67" t="s">
        <v>7044</v>
      </c>
      <c r="I130" s="67" t="s">
        <v>6996</v>
      </c>
    </row>
    <row r="131" spans="1:9" x14ac:dyDescent="0.25">
      <c r="A131" t="s">
        <v>7102</v>
      </c>
      <c r="B131" s="119">
        <f>B125</f>
        <v>59947.978395061735</v>
      </c>
      <c r="C131" s="119">
        <f t="shared" ref="C131:F131" si="35">C125</f>
        <v>5453</v>
      </c>
      <c r="D131" s="119">
        <f t="shared" si="35"/>
        <v>83</v>
      </c>
      <c r="E131" s="119">
        <f t="shared" si="35"/>
        <v>299</v>
      </c>
      <c r="F131" s="119">
        <f t="shared" si="35"/>
        <v>13</v>
      </c>
      <c r="G131" s="119">
        <v>0</v>
      </c>
      <c r="H131" s="119">
        <v>0</v>
      </c>
      <c r="I131" s="120">
        <f>SUM(B131:H131)</f>
        <v>65795.978395061742</v>
      </c>
    </row>
    <row r="132" spans="1:9" x14ac:dyDescent="0.25">
      <c r="A132" s="121" t="s">
        <v>7066</v>
      </c>
      <c r="B132" s="132">
        <f>B131/$I131</f>
        <v>0.9111191877885515</v>
      </c>
      <c r="C132" s="132">
        <f t="shared" ref="C132:H132" si="36">C131/$I131</f>
        <v>8.2877405777877597E-2</v>
      </c>
      <c r="D132" s="132">
        <f t="shared" si="36"/>
        <v>1.2614752759148801E-3</v>
      </c>
      <c r="E132" s="132">
        <f t="shared" si="36"/>
        <v>4.5443506927536044E-3</v>
      </c>
      <c r="F132" s="132">
        <f t="shared" si="36"/>
        <v>1.9758046490233062E-4</v>
      </c>
      <c r="G132" s="132">
        <f>G131/$I131</f>
        <v>0</v>
      </c>
      <c r="H132" s="132">
        <f t="shared" si="36"/>
        <v>0</v>
      </c>
      <c r="I132" s="133">
        <f>SUM(B132:H132)</f>
        <v>1</v>
      </c>
    </row>
  </sheetData>
  <printOptions horizontalCentered="1"/>
  <pageMargins left="0.7" right="0.7" top="1" bottom="0.5" header="0.3" footer="0.3"/>
  <pageSetup scale="69" fitToHeight="0" orientation="landscape" r:id="rId1"/>
  <headerFooter>
    <oddHeader>&amp;RSchedule CBR-1
NJAWC Class Cost  of Service Study
Tab: &amp;A
Page &amp;P of &amp;N</oddHeader>
  </headerFooter>
  <rowBreaks count="2" manualBreakCount="2">
    <brk id="48" max="10" man="1"/>
    <brk id="85" max="10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2:N49"/>
  <sheetViews>
    <sheetView zoomScale="80" zoomScaleNormal="80" zoomScaleSheetLayoutView="100" workbookViewId="0">
      <selection activeCell="B6" sqref="B6"/>
    </sheetView>
  </sheetViews>
  <sheetFormatPr defaultRowHeight="15" x14ac:dyDescent="0.25"/>
  <cols>
    <col min="2" max="2" customWidth="true" style="56" width="35.0" collapsed="false"/>
    <col min="3" max="10" customWidth="true" width="14.28515625" collapsed="false"/>
    <col min="11" max="11" customWidth="true" width="15.42578125" collapsed="false"/>
    <col min="12" max="12" customWidth="true" width="15.5703125" collapsed="false"/>
    <col min="13" max="13" customWidth="true" width="12.42578125" collapsed="false"/>
  </cols>
  <sheetData>
    <row r="2" spans="1:14" ht="21" x14ac:dyDescent="0.35">
      <c r="A2" s="1" t="s">
        <v>7973</v>
      </c>
      <c r="B2" s="108"/>
    </row>
    <row r="3" spans="1:14" ht="15.75" customHeight="1" x14ac:dyDescent="0.35">
      <c r="A3" s="1" t="s">
        <v>7035</v>
      </c>
      <c r="B3" s="108"/>
    </row>
    <row r="6" spans="1:14" x14ac:dyDescent="0.25">
      <c r="C6" s="65" t="s">
        <v>6989</v>
      </c>
      <c r="D6" s="65"/>
      <c r="E6" s="65" t="s">
        <v>6990</v>
      </c>
      <c r="F6" s="65"/>
      <c r="G6" s="65"/>
      <c r="H6" s="65"/>
      <c r="I6" s="65"/>
      <c r="J6" s="65"/>
      <c r="K6" s="65"/>
      <c r="L6" s="65"/>
    </row>
    <row r="7" spans="1:14" x14ac:dyDescent="0.25">
      <c r="A7" s="67" t="s">
        <v>6991</v>
      </c>
      <c r="B7" s="109" t="s">
        <v>6992</v>
      </c>
      <c r="C7" s="67" t="s">
        <v>6993</v>
      </c>
      <c r="D7" s="67" t="s">
        <v>6865</v>
      </c>
      <c r="E7" s="67" t="s">
        <v>6994</v>
      </c>
      <c r="F7" s="67" t="s">
        <v>6980</v>
      </c>
      <c r="G7" s="67" t="s">
        <v>6981</v>
      </c>
      <c r="H7" s="67" t="s">
        <v>6959</v>
      </c>
      <c r="I7" s="67" t="s">
        <v>28</v>
      </c>
      <c r="J7" s="67" t="s">
        <v>27</v>
      </c>
      <c r="K7" s="67" t="s">
        <v>6995</v>
      </c>
      <c r="L7" s="67" t="s">
        <v>30</v>
      </c>
      <c r="M7" s="68" t="s">
        <v>6996</v>
      </c>
      <c r="N7" s="66" t="s">
        <v>7036</v>
      </c>
    </row>
    <row r="8" spans="1:14" x14ac:dyDescent="0.25">
      <c r="A8" s="65" t="s">
        <v>7000</v>
      </c>
      <c r="B8" s="56" t="s">
        <v>23</v>
      </c>
      <c r="C8" s="110">
        <v>1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1">
        <f>SUM(C8:L8)</f>
        <v>1</v>
      </c>
    </row>
    <row r="9" spans="1:14" x14ac:dyDescent="0.25">
      <c r="A9" s="65" t="s">
        <v>7003</v>
      </c>
      <c r="B9" s="56" t="s">
        <v>6865</v>
      </c>
      <c r="C9" s="110">
        <v>0</v>
      </c>
      <c r="D9" s="110">
        <v>1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1">
        <f>SUM(C9:L9)</f>
        <v>1</v>
      </c>
    </row>
    <row r="10" spans="1:14" x14ac:dyDescent="0.25">
      <c r="A10" s="65" t="s">
        <v>2209</v>
      </c>
      <c r="B10" s="56" t="s">
        <v>9</v>
      </c>
      <c r="C10" s="110">
        <v>0</v>
      </c>
      <c r="D10" s="110">
        <v>0</v>
      </c>
      <c r="E10" s="110">
        <v>1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1">
        <f>SUM(C10:L10)</f>
        <v>1</v>
      </c>
    </row>
    <row r="11" spans="1:14" x14ac:dyDescent="0.25">
      <c r="A11" s="65" t="s">
        <v>2210</v>
      </c>
      <c r="B11" s="56" t="s">
        <v>6980</v>
      </c>
      <c r="C11" s="110">
        <v>0</v>
      </c>
      <c r="D11" s="110">
        <v>0</v>
      </c>
      <c r="E11" s="110">
        <v>0</v>
      </c>
      <c r="F11" s="110">
        <v>1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1">
        <f>SUM(C11:L11)</f>
        <v>1</v>
      </c>
    </row>
    <row r="12" spans="1:14" x14ac:dyDescent="0.25">
      <c r="A12" s="65" t="s">
        <v>7020</v>
      </c>
      <c r="B12" s="56" t="s">
        <v>6981</v>
      </c>
      <c r="C12" s="110">
        <v>0</v>
      </c>
      <c r="D12" s="110">
        <v>0</v>
      </c>
      <c r="E12" s="110">
        <v>0</v>
      </c>
      <c r="F12" s="110">
        <v>0</v>
      </c>
      <c r="G12" s="110">
        <v>1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1">
        <f>SUM(C12:L12)</f>
        <v>1</v>
      </c>
    </row>
    <row r="13" spans="1:14" x14ac:dyDescent="0.25">
      <c r="A13" s="65" t="s">
        <v>7008</v>
      </c>
      <c r="B13" s="56" t="s">
        <v>6959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1</v>
      </c>
      <c r="I13" s="110">
        <v>0</v>
      </c>
      <c r="J13" s="110">
        <v>0</v>
      </c>
      <c r="K13" s="110">
        <v>0</v>
      </c>
      <c r="L13" s="110">
        <v>0</v>
      </c>
      <c r="M13" s="111">
        <f t="shared" ref="M13:M24" si="0">SUM(C13:L13)</f>
        <v>1</v>
      </c>
    </row>
    <row r="14" spans="1:14" x14ac:dyDescent="0.25">
      <c r="A14" s="65" t="s">
        <v>7007</v>
      </c>
      <c r="B14" s="56" t="s">
        <v>28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1</v>
      </c>
      <c r="J14" s="110">
        <v>0</v>
      </c>
      <c r="K14" s="110">
        <v>0</v>
      </c>
      <c r="L14" s="110">
        <v>0</v>
      </c>
      <c r="M14" s="111">
        <f t="shared" si="0"/>
        <v>1</v>
      </c>
    </row>
    <row r="15" spans="1:14" x14ac:dyDescent="0.25">
      <c r="A15" s="65" t="s">
        <v>7010</v>
      </c>
      <c r="B15" s="56" t="s">
        <v>27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1</v>
      </c>
      <c r="K15" s="110">
        <v>0</v>
      </c>
      <c r="L15" s="110">
        <v>0</v>
      </c>
      <c r="M15" s="111">
        <f t="shared" si="0"/>
        <v>1</v>
      </c>
    </row>
    <row r="16" spans="1:14" x14ac:dyDescent="0.25">
      <c r="A16" s="65" t="s">
        <v>7013</v>
      </c>
      <c r="B16" s="56" t="s">
        <v>6995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1</v>
      </c>
      <c r="L16" s="110">
        <v>0</v>
      </c>
      <c r="M16" s="111">
        <f t="shared" si="0"/>
        <v>1</v>
      </c>
    </row>
    <row r="17" spans="1:13" x14ac:dyDescent="0.25">
      <c r="A17" s="65" t="s">
        <v>7009</v>
      </c>
      <c r="B17" s="56" t="s">
        <v>30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1</v>
      </c>
      <c r="M17" s="111">
        <f t="shared" si="0"/>
        <v>1</v>
      </c>
    </row>
    <row r="18" spans="1:13" x14ac:dyDescent="0.25">
      <c r="A18" s="65" t="s">
        <v>2211</v>
      </c>
      <c r="B18" s="56" t="s">
        <v>6931</v>
      </c>
      <c r="C18" s="110">
        <v>0</v>
      </c>
      <c r="D18" s="110">
        <v>0</v>
      </c>
      <c r="E18" s="110">
        <v>0</v>
      </c>
      <c r="F18" s="110">
        <f>'Usage Statistics'!D49</f>
        <v>0.24768414693549581</v>
      </c>
      <c r="G18" s="110">
        <f>'Usage Statistics'!D50</f>
        <v>0.75231585306450421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1">
        <f t="shared" si="0"/>
        <v>1</v>
      </c>
    </row>
    <row r="19" spans="1:13" x14ac:dyDescent="0.25">
      <c r="A19" s="65">
        <v>1</v>
      </c>
      <c r="B19" s="56" t="s">
        <v>7037</v>
      </c>
      <c r="C19" s="110">
        <f>'Account Detail'!H450</f>
        <v>0</v>
      </c>
      <c r="D19" s="110">
        <f>'Account Detail'!I450</f>
        <v>0</v>
      </c>
      <c r="E19" s="110">
        <f>'Account Detail'!J450</f>
        <v>0</v>
      </c>
      <c r="F19" s="110">
        <f>'Account Detail'!K450</f>
        <v>0.20443884123431316</v>
      </c>
      <c r="G19" s="110">
        <f>'Account Detail'!L450</f>
        <v>0.6209625571343721</v>
      </c>
      <c r="H19" s="110">
        <f>'Account Detail'!M450</f>
        <v>8.7770686947750091E-3</v>
      </c>
      <c r="I19" s="110">
        <f>'Account Detail'!N450</f>
        <v>0.16582153293653956</v>
      </c>
      <c r="J19" s="110">
        <f>'Account Detail'!O450</f>
        <v>0</v>
      </c>
      <c r="K19" s="110">
        <f>'Account Detail'!P450</f>
        <v>0</v>
      </c>
      <c r="L19" s="110">
        <f>'Account Detail'!Q450</f>
        <v>0</v>
      </c>
      <c r="M19" s="111">
        <f t="shared" si="0"/>
        <v>0.99999999999999978</v>
      </c>
    </row>
    <row r="20" spans="1:13" x14ac:dyDescent="0.25">
      <c r="A20" s="65">
        <v>2</v>
      </c>
      <c r="B20" s="56" t="s">
        <v>7038</v>
      </c>
      <c r="C20" s="110">
        <f>'Account Detail'!H453</f>
        <v>0</v>
      </c>
      <c r="D20" s="110">
        <f>'Account Detail'!I453</f>
        <v>0</v>
      </c>
      <c r="E20" s="110">
        <f>'Account Detail'!J453</f>
        <v>0</v>
      </c>
      <c r="F20" s="110">
        <f>'Account Detail'!K453</f>
        <v>0.11704865947991649</v>
      </c>
      <c r="G20" s="110">
        <f>'Account Detail'!L453</f>
        <v>0.35552361019545914</v>
      </c>
      <c r="H20" s="110">
        <f>'Account Detail'!M453</f>
        <v>0</v>
      </c>
      <c r="I20" s="110">
        <f>'Account Detail'!N453</f>
        <v>0</v>
      </c>
      <c r="J20" s="110">
        <f>'Account Detail'!O453</f>
        <v>1.355744087455866E-2</v>
      </c>
      <c r="K20" s="110">
        <f>'Account Detail'!P453</f>
        <v>0</v>
      </c>
      <c r="L20" s="110">
        <f>'Account Detail'!Q453</f>
        <v>0.51387028945006563</v>
      </c>
      <c r="M20" s="111">
        <f t="shared" si="0"/>
        <v>1</v>
      </c>
    </row>
    <row r="21" spans="1:13" x14ac:dyDescent="0.25">
      <c r="A21" s="65">
        <v>3</v>
      </c>
      <c r="B21" s="56" t="s">
        <v>7033</v>
      </c>
      <c r="C21" s="110">
        <f>'Account Detail'!H456</f>
        <v>2.1390768009236363E-2</v>
      </c>
      <c r="D21" s="110">
        <f>'Account Detail'!I456</f>
        <v>0.17650937645981721</v>
      </c>
      <c r="E21" s="110">
        <f>'Account Detail'!J456</f>
        <v>0.11641109581068587</v>
      </c>
      <c r="F21" s="110">
        <f>'Account Detail'!K456</f>
        <v>5.9941729201420359E-2</v>
      </c>
      <c r="G21" s="110">
        <f>'Account Detail'!L456</f>
        <v>0.18206701436597042</v>
      </c>
      <c r="H21" s="110">
        <f>'Account Detail'!M456</f>
        <v>1.0655815918753687E-3</v>
      </c>
      <c r="I21" s="110">
        <f>'Account Detail'!N456</f>
        <v>2.0131592810583687E-2</v>
      </c>
      <c r="J21" s="110">
        <f>'Account Detail'!O456</f>
        <v>4.0680659113158163E-3</v>
      </c>
      <c r="K21" s="110">
        <f>'Account Detail'!P456</f>
        <v>0.2642220910476254</v>
      </c>
      <c r="L21" s="110">
        <f>'Account Detail'!Q456</f>
        <v>0.15419268479146916</v>
      </c>
      <c r="M21" s="111">
        <f t="shared" si="0"/>
        <v>0.99999999999999967</v>
      </c>
    </row>
    <row r="22" spans="1:13" x14ac:dyDescent="0.25">
      <c r="A22" s="65">
        <v>4</v>
      </c>
      <c r="B22" s="56" t="s">
        <v>2</v>
      </c>
      <c r="C22" s="110">
        <f>'Account Detail'!H459</f>
        <v>0</v>
      </c>
      <c r="D22" s="110">
        <f>'Account Detail'!I459</f>
        <v>0.27233126280428666</v>
      </c>
      <c r="E22" s="110">
        <f>'Account Detail'!J459</f>
        <v>0.15997488589847067</v>
      </c>
      <c r="F22" s="110">
        <f>'Account Detail'!K459</f>
        <v>4.8633722588627012E-2</v>
      </c>
      <c r="G22" s="110">
        <f>'Account Detail'!L459</f>
        <v>0.14772007393147343</v>
      </c>
      <c r="H22" s="110">
        <f>'Account Detail'!M459</f>
        <v>7.5862415054158772E-4</v>
      </c>
      <c r="I22" s="110">
        <f>'Account Detail'!N459</f>
        <v>2.6811171438909612E-2</v>
      </c>
      <c r="J22" s="110">
        <f>'Account Detail'!O459</f>
        <v>2.1642625855243002E-3</v>
      </c>
      <c r="K22" s="110">
        <f>'Account Detail'!P459</f>
        <v>0.25974308288743925</v>
      </c>
      <c r="L22" s="110">
        <f>'Account Detail'!Q459</f>
        <v>8.1862913714727578E-2</v>
      </c>
      <c r="M22" s="111">
        <f t="shared" si="0"/>
        <v>1</v>
      </c>
    </row>
    <row r="23" spans="1:13" x14ac:dyDescent="0.25">
      <c r="A23" s="65">
        <v>5</v>
      </c>
      <c r="B23" s="56" t="s">
        <v>7039</v>
      </c>
      <c r="C23" s="110">
        <f>'Account Detail'!H462</f>
        <v>2.184572161480965E-2</v>
      </c>
      <c r="D23" s="110">
        <f>'Account Detail'!I462</f>
        <v>5.9519766692993081E-2</v>
      </c>
      <c r="E23" s="110">
        <f>'Account Detail'!J462</f>
        <v>0.14567697032898211</v>
      </c>
      <c r="F23" s="110">
        <f>'Account Detail'!K462</f>
        <v>0.2047858037538767</v>
      </c>
      <c r="G23" s="110">
        <f>'Account Detail'!L462</f>
        <v>0.3716260243476438</v>
      </c>
      <c r="H23" s="110">
        <f>'Account Detail'!M462</f>
        <v>3.4127695971418064E-2</v>
      </c>
      <c r="I23" s="110">
        <f>'Account Detail'!N462</f>
        <v>5.527456339980881E-2</v>
      </c>
      <c r="J23" s="110">
        <f>'Account Detail'!O462</f>
        <v>2.1552176628150465E-2</v>
      </c>
      <c r="K23" s="110">
        <f>'Account Detail'!P462</f>
        <v>1.7780475285700779E-2</v>
      </c>
      <c r="L23" s="110">
        <f>'Account Detail'!Q462</f>
        <v>6.7810801976616653E-2</v>
      </c>
      <c r="M23" s="111">
        <f t="shared" si="0"/>
        <v>1.0000000000000002</v>
      </c>
    </row>
    <row r="24" spans="1:13" x14ac:dyDescent="0.25">
      <c r="A24" s="65">
        <v>6</v>
      </c>
      <c r="B24" s="56" t="s">
        <v>6965</v>
      </c>
      <c r="C24" s="110">
        <f>'Account Detail'!H465</f>
        <v>2.3563551232954717E-2</v>
      </c>
      <c r="D24" s="110">
        <f>'Account Detail'!I465</f>
        <v>6.2588002892798436E-2</v>
      </c>
      <c r="E24" s="110">
        <f>'Account Detail'!J465</f>
        <v>0.15748989973777258</v>
      </c>
      <c r="F24" s="110">
        <f>'Account Detail'!K465</f>
        <v>0.20445059320813569</v>
      </c>
      <c r="G24" s="110">
        <f>'Account Detail'!L465</f>
        <v>0.34757548773573915</v>
      </c>
      <c r="H24" s="110">
        <f>'Account Detail'!M465</f>
        <v>3.7252430948842959E-2</v>
      </c>
      <c r="I24" s="110">
        <f>'Account Detail'!N465</f>
        <v>6.0029993966796577E-2</v>
      </c>
      <c r="J24" s="110">
        <f>'Account Detail'!O465</f>
        <v>2.3374805847132581E-2</v>
      </c>
      <c r="K24" s="110">
        <f>'Account Detail'!P465</f>
        <v>1.5813308680624163E-2</v>
      </c>
      <c r="L24" s="110">
        <f>'Account Detail'!Q465</f>
        <v>6.7861925749203175E-2</v>
      </c>
      <c r="M24" s="111">
        <f t="shared" si="0"/>
        <v>0.99999999999999989</v>
      </c>
    </row>
    <row r="25" spans="1:13" x14ac:dyDescent="0.25">
      <c r="A25" s="112" t="s">
        <v>7040</v>
      </c>
      <c r="B25" s="113" t="s">
        <v>7041</v>
      </c>
    </row>
    <row r="26" spans="1:13" x14ac:dyDescent="0.25">
      <c r="A26" s="112" t="s">
        <v>7040</v>
      </c>
      <c r="B26" s="113" t="s">
        <v>7041</v>
      </c>
    </row>
    <row r="27" spans="1:13" x14ac:dyDescent="0.25">
      <c r="A27" s="112" t="s">
        <v>7040</v>
      </c>
      <c r="B27" s="113" t="s">
        <v>7041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x14ac:dyDescent="0.25">
      <c r="A28" s="112" t="s">
        <v>7040</v>
      </c>
      <c r="B28" s="113" t="s">
        <v>7041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3" x14ac:dyDescent="0.25">
      <c r="C30" s="65"/>
      <c r="D30" s="65"/>
      <c r="E30" s="65"/>
      <c r="F30" s="65"/>
      <c r="G30" s="65"/>
      <c r="H30" s="65" t="s">
        <v>7042</v>
      </c>
      <c r="I30" s="65" t="s">
        <v>7043</v>
      </c>
      <c r="L30" s="65"/>
    </row>
    <row r="31" spans="1:13" x14ac:dyDescent="0.25">
      <c r="A31" s="67" t="s">
        <v>6991</v>
      </c>
      <c r="B31" s="109" t="s">
        <v>6992</v>
      </c>
      <c r="C31" s="67" t="s">
        <v>65</v>
      </c>
      <c r="D31" s="67" t="s">
        <v>70</v>
      </c>
      <c r="E31" s="67" t="s">
        <v>66</v>
      </c>
      <c r="F31" s="67" t="s">
        <v>8124</v>
      </c>
      <c r="G31" s="67" t="s">
        <v>8125</v>
      </c>
      <c r="H31" s="67" t="s">
        <v>7044</v>
      </c>
      <c r="I31" s="67" t="s">
        <v>7044</v>
      </c>
      <c r="J31" s="68" t="s">
        <v>6996</v>
      </c>
      <c r="K31" s="66" t="s">
        <v>7036</v>
      </c>
      <c r="L31" s="67"/>
    </row>
    <row r="32" spans="1:13" x14ac:dyDescent="0.25">
      <c r="A32" s="65">
        <v>1</v>
      </c>
      <c r="B32" s="56" t="s">
        <v>7045</v>
      </c>
      <c r="C32" s="110">
        <f>'Class Allocators'!B9</f>
        <v>0.51382754704349531</v>
      </c>
      <c r="D32" s="110">
        <f>'Class Allocators'!C9</f>
        <v>0.28026956555881999</v>
      </c>
      <c r="E32" s="110">
        <f>'Class Allocators'!D9</f>
        <v>0.17565026585436014</v>
      </c>
      <c r="F32" s="110">
        <f>'Class Allocators'!E9</f>
        <v>2.877520611393819E-2</v>
      </c>
      <c r="G32" s="110">
        <f>'Class Allocators'!F9</f>
        <v>1.4774154293862047E-3</v>
      </c>
      <c r="H32" s="110">
        <f>'Class Allocators'!G9</f>
        <v>0</v>
      </c>
      <c r="I32" s="110">
        <f>'Class Allocators'!H9</f>
        <v>0</v>
      </c>
      <c r="J32" s="111">
        <f>SUM(C32:I32)</f>
        <v>0.99999999999999978</v>
      </c>
      <c r="L32" s="110"/>
    </row>
    <row r="33" spans="1:12" x14ac:dyDescent="0.25">
      <c r="A33" s="65">
        <v>2</v>
      </c>
      <c r="B33" s="56" t="s">
        <v>7046</v>
      </c>
      <c r="C33" s="110">
        <f>'Class Allocators'!B22</f>
        <v>0.55149334703952402</v>
      </c>
      <c r="D33" s="110">
        <f>'Class Allocators'!C22</f>
        <v>0.26497700443368621</v>
      </c>
      <c r="E33" s="110">
        <f>'Class Allocators'!D22</f>
        <v>0.1436060576901218</v>
      </c>
      <c r="F33" s="110">
        <f>'Class Allocators'!E22</f>
        <v>3.8243417246359476E-2</v>
      </c>
      <c r="G33" s="110">
        <f>'Class Allocators'!F22</f>
        <v>1.6801735903083776E-3</v>
      </c>
      <c r="H33" s="110">
        <f>'Class Allocators'!G22</f>
        <v>0</v>
      </c>
      <c r="I33" s="110">
        <f>'Class Allocators'!H22</f>
        <v>0</v>
      </c>
      <c r="J33" s="111">
        <f t="shared" ref="J33:J41" si="1">SUM(C33:I33)</f>
        <v>0.99999999999999989</v>
      </c>
      <c r="L33" s="110"/>
    </row>
    <row r="34" spans="1:12" x14ac:dyDescent="0.25">
      <c r="A34" s="65">
        <v>3</v>
      </c>
      <c r="B34" s="113" t="s">
        <v>7047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1">
        <f t="shared" si="1"/>
        <v>0</v>
      </c>
      <c r="L34" s="110"/>
    </row>
    <row r="35" spans="1:12" x14ac:dyDescent="0.25">
      <c r="A35" s="65">
        <v>4</v>
      </c>
      <c r="B35" s="56" t="s">
        <v>7048</v>
      </c>
      <c r="C35" s="110">
        <f>'Class Allocators'!B35</f>
        <v>0.41533502755768931</v>
      </c>
      <c r="D35" s="110">
        <f>'Class Allocators'!C35</f>
        <v>0.19887140551476457</v>
      </c>
      <c r="E35" s="110">
        <f>'Class Allocators'!D35</f>
        <v>0.10729206214921327</v>
      </c>
      <c r="F35" s="110">
        <f>'Class Allocators'!E35</f>
        <v>2.8942223712511539E-2</v>
      </c>
      <c r="G35" s="110">
        <f>'Class Allocators'!F35</f>
        <v>1.2671615657844186E-3</v>
      </c>
      <c r="H35" s="110">
        <f>'Class Allocators'!G35</f>
        <v>4.0968199717506072E-2</v>
      </c>
      <c r="I35" s="110">
        <f>'Class Allocators'!H35</f>
        <v>0.20732391978253073</v>
      </c>
      <c r="J35" s="111">
        <f t="shared" si="1"/>
        <v>1</v>
      </c>
      <c r="L35" s="110"/>
    </row>
    <row r="36" spans="1:12" x14ac:dyDescent="0.25">
      <c r="A36" s="65">
        <v>5</v>
      </c>
      <c r="B36" s="56" t="s">
        <v>7049</v>
      </c>
      <c r="C36" s="110">
        <f>'Class Allocators'!B47</f>
        <v>0.46760233397350504</v>
      </c>
      <c r="D36" s="110">
        <f>'Class Allocators'!C47</f>
        <v>0.1600623316182046</v>
      </c>
      <c r="E36" s="110">
        <f>'Class Allocators'!D47</f>
        <v>2.5342511164311351E-2</v>
      </c>
      <c r="F36" s="110">
        <f>'Class Allocators'!E47</f>
        <v>3.5815218712603507E-2</v>
      </c>
      <c r="G36" s="110">
        <f>'Class Allocators'!F47</f>
        <v>5.078776027729366E-4</v>
      </c>
      <c r="H36" s="110">
        <f>'Class Allocators'!G47</f>
        <v>5.1260504943219445E-2</v>
      </c>
      <c r="I36" s="110">
        <f>'Class Allocators'!H47</f>
        <v>0.25940922198538324</v>
      </c>
      <c r="J36" s="111">
        <f t="shared" si="1"/>
        <v>1</v>
      </c>
      <c r="L36" s="110"/>
    </row>
    <row r="37" spans="1:12" x14ac:dyDescent="0.25">
      <c r="A37" s="65">
        <v>6</v>
      </c>
      <c r="B37" s="56" t="s">
        <v>6959</v>
      </c>
      <c r="C37" s="110">
        <f>'Class Allocators'!B67</f>
        <v>0.26776103787401129</v>
      </c>
      <c r="D37" s="110">
        <f>'Class Allocators'!C67</f>
        <v>8.5602652554729403E-2</v>
      </c>
      <c r="E37" s="110">
        <f>'Class Allocators'!D67</f>
        <v>5.3648810027220079E-2</v>
      </c>
      <c r="F37" s="110">
        <f>'Class Allocators'!E67</f>
        <v>2.1718522042194707E-2</v>
      </c>
      <c r="G37" s="110">
        <f>'Class Allocators'!F67</f>
        <v>1.8570453918621312E-4</v>
      </c>
      <c r="H37" s="110">
        <f>'Class Allocators'!G67</f>
        <v>9.4228740038838632E-2</v>
      </c>
      <c r="I37" s="110">
        <f>'Class Allocators'!H67</f>
        <v>0.47685453292381974</v>
      </c>
      <c r="J37" s="111">
        <f t="shared" si="1"/>
        <v>1</v>
      </c>
      <c r="L37" s="110"/>
    </row>
    <row r="38" spans="1:12" x14ac:dyDescent="0.25">
      <c r="A38" s="65">
        <v>7</v>
      </c>
      <c r="B38" s="56" t="s">
        <v>28</v>
      </c>
      <c r="C38" s="110">
        <f>'Class Allocators'!B102</f>
        <v>0.77150272556048427</v>
      </c>
      <c r="D38" s="110">
        <f>'Class Allocators'!C102</f>
        <v>0.19134585281332864</v>
      </c>
      <c r="E38" s="110">
        <f>'Class Allocators'!D102</f>
        <v>1.5232515395490731E-2</v>
      </c>
      <c r="F38" s="110">
        <f>'Class Allocators'!E102</f>
        <v>2.0903727133751014E-2</v>
      </c>
      <c r="G38" s="110">
        <f>'Class Allocators'!F102</f>
        <v>1.0151790969453801E-3</v>
      </c>
      <c r="H38" s="110">
        <f>'Class Allocators'!G102</f>
        <v>0</v>
      </c>
      <c r="I38" s="110">
        <f>'Class Allocators'!H102</f>
        <v>0</v>
      </c>
      <c r="J38" s="111">
        <f t="shared" si="1"/>
        <v>1</v>
      </c>
      <c r="L38" s="110"/>
    </row>
    <row r="39" spans="1:12" x14ac:dyDescent="0.25">
      <c r="A39" s="65">
        <v>8</v>
      </c>
      <c r="B39" s="56" t="s">
        <v>27</v>
      </c>
      <c r="C39" s="110">
        <f>'Class Allocators'!B120</f>
        <v>0.80198163046057802</v>
      </c>
      <c r="D39" s="110">
        <f>'Class Allocators'!C120</f>
        <v>0.10441561763311354</v>
      </c>
      <c r="E39" s="110">
        <f>'Class Allocators'!D120</f>
        <v>3.6628439091102539E-3</v>
      </c>
      <c r="F39" s="110">
        <f>'Class Allocators'!E120</f>
        <v>8.0023238505088339E-3</v>
      </c>
      <c r="G39" s="110">
        <f>'Class Allocators'!F120</f>
        <v>2.8207813843590315E-4</v>
      </c>
      <c r="H39" s="110">
        <f>'Class Allocators'!G120</f>
        <v>8.1655506008253415E-2</v>
      </c>
      <c r="I39" s="110">
        <f>'Class Allocators'!H120</f>
        <v>0</v>
      </c>
      <c r="J39" s="111">
        <f t="shared" si="1"/>
        <v>1</v>
      </c>
      <c r="L39" s="110"/>
    </row>
    <row r="40" spans="1:12" x14ac:dyDescent="0.25">
      <c r="A40" s="65">
        <v>9</v>
      </c>
      <c r="B40" s="56" t="s">
        <v>6995</v>
      </c>
      <c r="C40" s="110">
        <f>'Class Allocators'!B126</f>
        <v>0.89475958934144417</v>
      </c>
      <c r="D40" s="110">
        <f>'Class Allocators'!C126</f>
        <v>8.1389300712112367E-2</v>
      </c>
      <c r="E40" s="110">
        <f>'Class Allocators'!D126</f>
        <v>1.2388248595461813E-3</v>
      </c>
      <c r="F40" s="110">
        <f>'Class Allocators'!E126</f>
        <v>4.4627546145097376E-3</v>
      </c>
      <c r="G40" s="110">
        <f>'Class Allocators'!F126</f>
        <v>1.9403280932651034E-4</v>
      </c>
      <c r="H40" s="110">
        <f>'Class Allocators'!G126</f>
        <v>1.7955497663060916E-2</v>
      </c>
      <c r="I40" s="110">
        <f>'Class Allocators'!H126</f>
        <v>0</v>
      </c>
      <c r="J40" s="111">
        <f t="shared" si="1"/>
        <v>0.99999999999999989</v>
      </c>
      <c r="L40" s="110"/>
    </row>
    <row r="41" spans="1:12" x14ac:dyDescent="0.25">
      <c r="A41" s="65">
        <v>10</v>
      </c>
      <c r="B41" s="56" t="s">
        <v>30</v>
      </c>
      <c r="C41" s="110">
        <f>'Class Allocators'!B84</f>
        <v>0</v>
      </c>
      <c r="D41" s="110">
        <f>'Class Allocators'!C84</f>
        <v>0</v>
      </c>
      <c r="E41" s="110">
        <f>'Class Allocators'!D84</f>
        <v>0</v>
      </c>
      <c r="F41" s="110">
        <f>'Class Allocators'!E84</f>
        <v>0</v>
      </c>
      <c r="G41" s="110">
        <f>'Class Allocators'!F84</f>
        <v>0</v>
      </c>
      <c r="H41" s="110">
        <f>'Class Allocators'!G84</f>
        <v>0</v>
      </c>
      <c r="I41" s="110">
        <f>'Class Allocators'!H84</f>
        <v>1</v>
      </c>
      <c r="J41" s="111">
        <f t="shared" si="1"/>
        <v>1</v>
      </c>
      <c r="L41" s="110"/>
    </row>
    <row r="42" spans="1:12" x14ac:dyDescent="0.25">
      <c r="A42" s="112" t="s">
        <v>7040</v>
      </c>
      <c r="B42" s="113" t="s">
        <v>7041</v>
      </c>
      <c r="C42" s="110"/>
      <c r="D42" s="110"/>
      <c r="E42" s="110"/>
      <c r="F42" s="110"/>
      <c r="G42" s="110"/>
      <c r="H42" s="110"/>
      <c r="I42" s="110"/>
      <c r="J42" s="111"/>
      <c r="L42" s="110"/>
    </row>
    <row r="43" spans="1:12" x14ac:dyDescent="0.25">
      <c r="A43" s="112" t="s">
        <v>7040</v>
      </c>
      <c r="B43" s="113" t="s">
        <v>7041</v>
      </c>
      <c r="C43" s="110"/>
      <c r="D43" s="110"/>
      <c r="E43" s="110"/>
      <c r="F43" s="110"/>
      <c r="G43" s="110"/>
      <c r="H43" s="110"/>
      <c r="I43" s="110"/>
      <c r="J43" s="111"/>
      <c r="L43" s="110"/>
    </row>
    <row r="44" spans="1:12" x14ac:dyDescent="0.25">
      <c r="A44" s="112" t="s">
        <v>7040</v>
      </c>
      <c r="B44" s="113" t="s">
        <v>7041</v>
      </c>
      <c r="C44" s="110"/>
      <c r="D44" s="110"/>
      <c r="E44" s="110"/>
      <c r="F44" s="110"/>
      <c r="G44" s="110"/>
      <c r="H44" s="110"/>
      <c r="I44" s="110"/>
      <c r="J44" s="111"/>
      <c r="L44" s="110"/>
    </row>
    <row r="45" spans="1:12" x14ac:dyDescent="0.25">
      <c r="A45" s="112" t="s">
        <v>7040</v>
      </c>
      <c r="B45" s="113" t="s">
        <v>7041</v>
      </c>
      <c r="C45" s="110"/>
      <c r="D45" s="110"/>
      <c r="E45" s="110"/>
      <c r="F45" s="110"/>
      <c r="G45" s="110"/>
      <c r="H45" s="110"/>
      <c r="I45" s="110"/>
      <c r="J45" s="111"/>
      <c r="L45" s="110"/>
    </row>
    <row r="46" spans="1:12" x14ac:dyDescent="0.25">
      <c r="A46" s="112" t="s">
        <v>7040</v>
      </c>
      <c r="B46" s="113" t="s">
        <v>7041</v>
      </c>
      <c r="C46" s="110"/>
      <c r="D46" s="110"/>
      <c r="E46" s="110"/>
      <c r="F46" s="110"/>
      <c r="G46" s="110"/>
      <c r="H46" s="110"/>
      <c r="I46" s="110"/>
      <c r="J46" s="111"/>
      <c r="L46" s="110"/>
    </row>
    <row r="47" spans="1:12" x14ac:dyDescent="0.25">
      <c r="A47" s="65"/>
    </row>
    <row r="48" spans="1:12" x14ac:dyDescent="0.25">
      <c r="A48" s="65"/>
    </row>
    <row r="49" spans="1:13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</sheetData>
  <pageMargins left="0.7" right="0.7" top="0.75" bottom="0.75" header="0.3" footer="0.3"/>
  <pageSetup scale="58" orientation="landscape" r:id="rId1"/>
  <headerFooter>
    <oddHeader>&amp;RSchedule CBR-1
NJAWC Class Cost of Service Study
Tab: &amp;A
Page &amp;P of &amp;N</oddHead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6" sqref="B6"/>
    </sheetView>
  </sheetViews>
  <sheetFormatPr defaultRowHeight="15" x14ac:dyDescent="0.25"/>
  <sheetData>
    <row r="1" customFormat="1" x14ac:dyDescent="0.25"/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2:W299"/>
  <sheetViews>
    <sheetView zoomScale="80" zoomScaleNormal="80" workbookViewId="0">
      <selection activeCell="B6" sqref="B6"/>
    </sheetView>
  </sheetViews>
  <sheetFormatPr defaultColWidth="9.28515625" defaultRowHeight="15" x14ac:dyDescent="0.25"/>
  <cols>
    <col min="1" max="1" customWidth="true" style="2" width="4.7109375" collapsed="false"/>
    <col min="2" max="2" customWidth="true" style="2" width="11.5703125" collapsed="false"/>
    <col min="3" max="3" customWidth="true" style="2" width="2.7109375" collapsed="false"/>
    <col min="4" max="4" bestFit="true" customWidth="true" style="2" width="45.5703125" collapsed="false"/>
    <col min="5" max="5" customWidth="true" style="2" width="2.28515625" collapsed="false"/>
    <col min="6" max="6" customWidth="true" style="2" width="16.42578125" collapsed="false"/>
    <col min="7" max="7" customWidth="true" style="2" width="1.7109375" collapsed="false"/>
    <col min="8" max="8" bestFit="true" customWidth="true" style="2" width="15.140625" collapsed="false"/>
    <col min="9" max="9" bestFit="true" customWidth="true" style="2" width="16.0" collapsed="false"/>
    <col min="10" max="10" bestFit="true" customWidth="true" style="2" width="16.42578125" collapsed="false"/>
    <col min="11" max="11" bestFit="true" customWidth="true" style="2" width="10.5703125" collapsed="false"/>
    <col min="12" max="12" customWidth="true" style="57" width="13.5703125" collapsed="false"/>
    <col min="13" max="13" bestFit="true" customWidth="true" style="57" width="14.28515625" collapsed="false"/>
    <col min="14" max="14" bestFit="true" customWidth="true" style="57" width="12.85546875" collapsed="false"/>
    <col min="15" max="15" bestFit="true" customWidth="true" style="57" width="11.5703125" collapsed="false"/>
    <col min="16" max="16" bestFit="true" customWidth="true" style="2" width="10.5703125" collapsed="false"/>
    <col min="17" max="17" bestFit="true" customWidth="true" style="2" width="11.5703125" collapsed="false"/>
    <col min="18" max="18" bestFit="true" customWidth="true" style="2" width="10.5703125" collapsed="false"/>
    <col min="19" max="19" bestFit="true" customWidth="true" style="2" width="10.85546875" collapsed="false"/>
    <col min="20" max="20" bestFit="true" customWidth="true" style="2" width="11.5703125" collapsed="false"/>
    <col min="21" max="21" bestFit="true" customWidth="true" style="2" width="13.28515625" collapsed="false"/>
    <col min="22" max="22" bestFit="true" customWidth="true" style="2" width="14.42578125" collapsed="false"/>
    <col min="23" max="16384" style="2" width="9.28515625" collapsed="false"/>
  </cols>
  <sheetData>
    <row r="2" spans="1:22" x14ac:dyDescent="0.25">
      <c r="A2" s="192" t="s">
        <v>7973</v>
      </c>
      <c r="L2" s="162" t="s">
        <v>6984</v>
      </c>
      <c r="M2" s="163"/>
      <c r="N2" s="163"/>
      <c r="O2" s="163"/>
    </row>
    <row r="3" spans="1:22" x14ac:dyDescent="0.25">
      <c r="A3" s="192" t="s">
        <v>57</v>
      </c>
      <c r="L3" s="162" t="s">
        <v>6985</v>
      </c>
      <c r="M3" s="163"/>
      <c r="N3" s="163"/>
      <c r="O3" s="163"/>
    </row>
    <row r="4" spans="1:22" x14ac:dyDescent="0.25">
      <c r="L4" s="162"/>
      <c r="M4" s="163"/>
      <c r="N4" s="163"/>
      <c r="O4" s="163"/>
    </row>
    <row r="5" spans="1:22" ht="30.75" customHeight="1" thickBot="1" x14ac:dyDescent="0.3">
      <c r="B5" s="27" t="s">
        <v>6920</v>
      </c>
      <c r="C5" s="28"/>
      <c r="D5" s="28" t="s">
        <v>6921</v>
      </c>
      <c r="E5" s="29"/>
      <c r="F5" s="55" t="s">
        <v>6968</v>
      </c>
      <c r="G5" s="29"/>
      <c r="H5" s="33" t="s">
        <v>20</v>
      </c>
      <c r="I5" s="33" t="s">
        <v>23</v>
      </c>
      <c r="J5" s="33" t="s">
        <v>9</v>
      </c>
      <c r="K5" s="33" t="s">
        <v>6865</v>
      </c>
      <c r="L5" s="164" t="s">
        <v>6978</v>
      </c>
      <c r="M5" s="164" t="s">
        <v>6982</v>
      </c>
      <c r="N5" s="164" t="s">
        <v>6980</v>
      </c>
      <c r="O5" s="164" t="s">
        <v>6981</v>
      </c>
      <c r="P5" s="33" t="s">
        <v>6959</v>
      </c>
      <c r="Q5" s="34" t="s">
        <v>28</v>
      </c>
      <c r="R5" s="33" t="s">
        <v>27</v>
      </c>
      <c r="S5" s="33" t="s">
        <v>6958</v>
      </c>
      <c r="T5" s="33" t="s">
        <v>30</v>
      </c>
      <c r="U5" s="33" t="s">
        <v>31</v>
      </c>
    </row>
    <row r="6" spans="1:22" ht="15.75" thickTop="1" x14ac:dyDescent="0.25">
      <c r="H6" s="31"/>
      <c r="I6" s="31"/>
      <c r="J6" s="31"/>
      <c r="K6" s="31"/>
      <c r="L6" s="62"/>
      <c r="M6" s="62"/>
      <c r="N6" s="62"/>
      <c r="O6" s="62"/>
      <c r="P6" s="31"/>
      <c r="Q6" s="31"/>
      <c r="R6" s="31"/>
      <c r="S6" s="31"/>
      <c r="T6" s="31"/>
      <c r="U6" s="31"/>
      <c r="V6" s="31"/>
    </row>
    <row r="7" spans="1:22" x14ac:dyDescent="0.25">
      <c r="B7" s="12" t="s">
        <v>6922</v>
      </c>
      <c r="C7" s="49"/>
      <c r="D7" s="49"/>
      <c r="H7" s="31"/>
      <c r="I7" s="31"/>
      <c r="J7" s="31"/>
      <c r="K7" s="31"/>
      <c r="L7" s="62"/>
      <c r="M7" s="62"/>
      <c r="N7" s="62"/>
      <c r="O7" s="62"/>
      <c r="P7" s="31"/>
      <c r="Q7" s="31"/>
      <c r="R7" s="31"/>
      <c r="S7" s="31"/>
      <c r="T7" s="31"/>
      <c r="U7" s="31"/>
      <c r="V7" s="31"/>
    </row>
    <row r="8" spans="1:22" x14ac:dyDescent="0.25">
      <c r="B8" s="13"/>
      <c r="C8" s="1" t="s">
        <v>6923</v>
      </c>
      <c r="H8" s="31"/>
      <c r="I8" s="31"/>
      <c r="J8" s="31"/>
      <c r="K8" s="31"/>
      <c r="L8" s="62"/>
      <c r="M8" s="62"/>
      <c r="N8" s="62"/>
      <c r="O8" s="62"/>
      <c r="P8" s="31"/>
      <c r="Q8" s="31"/>
      <c r="R8" s="31"/>
      <c r="S8" s="31"/>
      <c r="T8" s="31"/>
      <c r="U8" s="31"/>
      <c r="V8" s="31"/>
    </row>
    <row r="9" spans="1:22" x14ac:dyDescent="0.25">
      <c r="B9" s="23" t="s">
        <v>7187</v>
      </c>
      <c r="D9" s="2" t="s">
        <v>7975</v>
      </c>
      <c r="F9" s="31">
        <f>SUM(H9:U9)</f>
        <v>37131</v>
      </c>
      <c r="H9" s="31">
        <f>SUMIFS(LinkFromRateBase!$J:$J,LinkFromRateBase!$E:$E,H$5,LinkFromRateBase!$F:$F,$D9)</f>
        <v>37131</v>
      </c>
      <c r="I9" s="31">
        <f>SUMIFS(LinkFromRateBase!$J:$J,LinkFromRateBase!$E:$E,I$5,LinkFromRateBase!$F:$F,$D9)</f>
        <v>0</v>
      </c>
      <c r="J9" s="31">
        <f>SUMIFS(LinkFromRateBase!$J:$J,LinkFromRateBase!$E:$E,J$5,LinkFromRateBase!$F:$F,$D9)</f>
        <v>0</v>
      </c>
      <c r="K9" s="31">
        <f>SUMIFS(LinkFromRateBase!$J:$J,LinkFromRateBase!$E:$E,K$5,LinkFromRateBase!$F:$F,$D9)</f>
        <v>0</v>
      </c>
      <c r="L9" s="31">
        <f>SUMIFS(LinkFromRateBase!$J:$J,LinkFromRateBase!$E:$E,L$5,LinkFromRateBase!$F:$F,$D9)</f>
        <v>0</v>
      </c>
      <c r="M9" s="31">
        <f>SUMIFS(LinkFromRateBase!$J:$J,LinkFromRateBase!$E:$E,M$5,LinkFromRateBase!$F:$F,$D9)</f>
        <v>0</v>
      </c>
      <c r="N9" s="31">
        <f>SUMIFS(LinkFromRateBase!$J:$J,LinkFromRateBase!$E:$E,N$5,LinkFromRateBase!$F:$F,$D9)</f>
        <v>0</v>
      </c>
      <c r="O9" s="31">
        <f>SUMIFS(LinkFromRateBase!$J:$J,LinkFromRateBase!$E:$E,O$5,LinkFromRateBase!$F:$F,$D9)</f>
        <v>0</v>
      </c>
      <c r="P9" s="31">
        <f>SUMIFS(LinkFromRateBase!$J:$J,LinkFromRateBase!$E:$E,P$5,LinkFromRateBase!$F:$F,$D9)</f>
        <v>0</v>
      </c>
      <c r="Q9" s="31">
        <f>SUMIFS(LinkFromRateBase!$J:$J,LinkFromRateBase!$E:$E,Q$5,LinkFromRateBase!$F:$F,$D9)</f>
        <v>0</v>
      </c>
      <c r="R9" s="31">
        <f>SUMIFS(LinkFromRateBase!$J:$J,LinkFromRateBase!$E:$E,R$5,LinkFromRateBase!$F:$F,$D9)</f>
        <v>0</v>
      </c>
      <c r="S9" s="31">
        <f>SUMIFS(LinkFromRateBase!$J:$J,LinkFromRateBase!$E:$E,S$5,LinkFromRateBase!$F:$F,$D9)</f>
        <v>0</v>
      </c>
      <c r="T9" s="31">
        <f>SUMIFS(LinkFromRateBase!$J:$J,LinkFromRateBase!$E:$E,T$5,LinkFromRateBase!$F:$F,$D9)</f>
        <v>0</v>
      </c>
      <c r="U9" s="31">
        <f>SUMIFS(LinkFromRateBase!$J:$J,LinkFromRateBase!$E:$E,U$5,LinkFromRateBase!$F:$F,$D9)</f>
        <v>0</v>
      </c>
      <c r="V9" s="31"/>
    </row>
    <row r="10" spans="1:22" x14ac:dyDescent="0.25">
      <c r="B10" s="23" t="s">
        <v>7188</v>
      </c>
      <c r="D10" s="2" t="s">
        <v>7977</v>
      </c>
      <c r="F10" s="31">
        <f t="shared" ref="F10:F11" si="0">SUM(H10:U10)</f>
        <v>0</v>
      </c>
      <c r="H10" s="31">
        <f>SUMIFS(LinkFromRateBase!$J:$J,LinkFromRateBase!$E:$E,H$5,LinkFromRateBase!$F:$F,$D10)</f>
        <v>0</v>
      </c>
      <c r="I10" s="31">
        <f>SUMIFS(LinkFromRateBase!$J:$J,LinkFromRateBase!$E:$E,I$5,LinkFromRateBase!$F:$F,$D10)</f>
        <v>0</v>
      </c>
      <c r="J10" s="31">
        <f>SUMIFS(LinkFromRateBase!$J:$J,LinkFromRateBase!$E:$E,J$5,LinkFromRateBase!$F:$F,$D10)</f>
        <v>0</v>
      </c>
      <c r="K10" s="31">
        <f>SUMIFS(LinkFromRateBase!$J:$J,LinkFromRateBase!$E:$E,K$5,LinkFromRateBase!$F:$F,$D10)</f>
        <v>0</v>
      </c>
      <c r="L10" s="31">
        <f>SUMIFS(LinkFromRateBase!$J:$J,LinkFromRateBase!$E:$E,L$5,LinkFromRateBase!$F:$F,$D10)</f>
        <v>0</v>
      </c>
      <c r="M10" s="31">
        <f>SUMIFS(LinkFromRateBase!$J:$J,LinkFromRateBase!$E:$E,M$5,LinkFromRateBase!$F:$F,$D10)</f>
        <v>0</v>
      </c>
      <c r="N10" s="31">
        <f>SUMIFS(LinkFromRateBase!$J:$J,LinkFromRateBase!$E:$E,N$5,LinkFromRateBase!$F:$F,$D10)</f>
        <v>0</v>
      </c>
      <c r="O10" s="31">
        <f>SUMIFS(LinkFromRateBase!$J:$J,LinkFromRateBase!$E:$E,O$5,LinkFromRateBase!$F:$F,$D10)</f>
        <v>0</v>
      </c>
      <c r="P10" s="31">
        <f>SUMIFS(LinkFromRateBase!$J:$J,LinkFromRateBase!$E:$E,P$5,LinkFromRateBase!$F:$F,$D10)</f>
        <v>0</v>
      </c>
      <c r="Q10" s="31">
        <f>SUMIFS(LinkFromRateBase!$J:$J,LinkFromRateBase!$E:$E,Q$5,LinkFromRateBase!$F:$F,$D10)</f>
        <v>0</v>
      </c>
      <c r="R10" s="31">
        <f>SUMIFS(LinkFromRateBase!$J:$J,LinkFromRateBase!$E:$E,R$5,LinkFromRateBase!$F:$F,$D10)</f>
        <v>0</v>
      </c>
      <c r="S10" s="31">
        <f>SUMIFS(LinkFromRateBase!$J:$J,LinkFromRateBase!$E:$E,S$5,LinkFromRateBase!$F:$F,$D10)</f>
        <v>0</v>
      </c>
      <c r="T10" s="31">
        <f>SUMIFS(LinkFromRateBase!$J:$J,LinkFromRateBase!$E:$E,T$5,LinkFromRateBase!$F:$F,$D10)</f>
        <v>0</v>
      </c>
      <c r="U10" s="31">
        <f>SUMIFS(LinkFromRateBase!$J:$J,LinkFromRateBase!$E:$E,U$5,LinkFromRateBase!$F:$F,$D10)</f>
        <v>0</v>
      </c>
      <c r="V10" s="31"/>
    </row>
    <row r="11" spans="1:22" x14ac:dyDescent="0.25">
      <c r="B11" s="23" t="s">
        <v>7240</v>
      </c>
      <c r="D11" s="2" t="s">
        <v>7979</v>
      </c>
      <c r="F11" s="31">
        <f t="shared" si="0"/>
        <v>220352.5</v>
      </c>
      <c r="H11" s="31">
        <f>SUMIFS(LinkFromRateBase!$J:$J,LinkFromRateBase!$E:$E,H$5,LinkFromRateBase!$F:$F,$D11)</f>
        <v>220352.5</v>
      </c>
      <c r="I11" s="31">
        <f>SUMIFS(LinkFromRateBase!$J:$J,LinkFromRateBase!$E:$E,I$5,LinkFromRateBase!$F:$F,$D11)</f>
        <v>0</v>
      </c>
      <c r="J11" s="31">
        <f>SUMIFS(LinkFromRateBase!$J:$J,LinkFromRateBase!$E:$E,J$5,LinkFromRateBase!$F:$F,$D11)</f>
        <v>0</v>
      </c>
      <c r="K11" s="31">
        <f>SUMIFS(LinkFromRateBase!$J:$J,LinkFromRateBase!$E:$E,K$5,LinkFromRateBase!$F:$F,$D11)</f>
        <v>0</v>
      </c>
      <c r="L11" s="31">
        <f>SUMIFS(LinkFromRateBase!$J:$J,LinkFromRateBase!$E:$E,L$5,LinkFromRateBase!$F:$F,$D11)</f>
        <v>0</v>
      </c>
      <c r="M11" s="31">
        <f>SUMIFS(LinkFromRateBase!$J:$J,LinkFromRateBase!$E:$E,M$5,LinkFromRateBase!$F:$F,$D11)</f>
        <v>0</v>
      </c>
      <c r="N11" s="31">
        <f>SUMIFS(LinkFromRateBase!$J:$J,LinkFromRateBase!$E:$E,N$5,LinkFromRateBase!$F:$F,$D11)</f>
        <v>0</v>
      </c>
      <c r="O11" s="31">
        <f>SUMIFS(LinkFromRateBase!$J:$J,LinkFromRateBase!$E:$E,O$5,LinkFromRateBase!$F:$F,$D11)</f>
        <v>0</v>
      </c>
      <c r="P11" s="31">
        <f>SUMIFS(LinkFromRateBase!$J:$J,LinkFromRateBase!$E:$E,P$5,LinkFromRateBase!$F:$F,$D11)</f>
        <v>0</v>
      </c>
      <c r="Q11" s="31">
        <f>SUMIFS(LinkFromRateBase!$J:$J,LinkFromRateBase!$E:$E,Q$5,LinkFromRateBase!$F:$F,$D11)</f>
        <v>0</v>
      </c>
      <c r="R11" s="31">
        <f>SUMIFS(LinkFromRateBase!$J:$J,LinkFromRateBase!$E:$E,R$5,LinkFromRateBase!$F:$F,$D11)</f>
        <v>0</v>
      </c>
      <c r="S11" s="31">
        <f>SUMIFS(LinkFromRateBase!$J:$J,LinkFromRateBase!$E:$E,S$5,LinkFromRateBase!$F:$F,$D11)</f>
        <v>0</v>
      </c>
      <c r="T11" s="31">
        <f>SUMIFS(LinkFromRateBase!$J:$J,LinkFromRateBase!$E:$E,T$5,LinkFromRateBase!$F:$F,$D11)</f>
        <v>0</v>
      </c>
      <c r="U11" s="31">
        <f>SUMIFS(LinkFromRateBase!$J:$J,LinkFromRateBase!$E:$E,U$5,LinkFromRateBase!$F:$F,$D11)</f>
        <v>0</v>
      </c>
      <c r="V11" s="31"/>
    </row>
    <row r="12" spans="1:22" x14ac:dyDescent="0.25">
      <c r="B12" s="14"/>
      <c r="E12" s="6"/>
      <c r="F12" s="6"/>
      <c r="G12" s="6"/>
      <c r="H12" s="31"/>
      <c r="I12" s="31"/>
      <c r="J12" s="31"/>
      <c r="K12" s="31"/>
      <c r="L12" s="62"/>
      <c r="M12" s="62"/>
      <c r="N12" s="62"/>
      <c r="O12" s="62"/>
      <c r="P12" s="31"/>
      <c r="Q12" s="31"/>
      <c r="R12" s="31"/>
      <c r="S12" s="31"/>
      <c r="T12" s="31"/>
      <c r="U12" s="31"/>
      <c r="V12" s="31"/>
    </row>
    <row r="13" spans="1:22" x14ac:dyDescent="0.25">
      <c r="B13" s="14"/>
      <c r="C13" s="1" t="s">
        <v>6924</v>
      </c>
      <c r="E13" s="6"/>
      <c r="F13" s="6"/>
      <c r="G13" s="6"/>
      <c r="H13" s="31"/>
      <c r="I13" s="31"/>
      <c r="J13" s="31"/>
      <c r="K13" s="31"/>
      <c r="L13" s="62"/>
      <c r="M13" s="62"/>
      <c r="N13" s="62"/>
      <c r="O13" s="62"/>
      <c r="P13" s="31"/>
      <c r="Q13" s="31"/>
      <c r="R13" s="31"/>
      <c r="S13" s="31"/>
      <c r="T13" s="31"/>
      <c r="U13" s="31"/>
      <c r="V13" s="31"/>
    </row>
    <row r="14" spans="1:22" x14ac:dyDescent="0.25">
      <c r="B14" s="225" t="s">
        <v>7190</v>
      </c>
      <c r="D14" s="2" t="s">
        <v>7981</v>
      </c>
      <c r="F14" s="31">
        <f t="shared" ref="F14:F18" si="1">SUM(H14:U14)</f>
        <v>24303</v>
      </c>
      <c r="H14" s="31">
        <f>SUMIFS(LinkFromRateBase!$J:$J,LinkFromRateBase!$E:$E,H$5,LinkFromRateBase!$F:$F,$D14)</f>
        <v>0</v>
      </c>
      <c r="I14" s="31">
        <f>SUMIFS(LinkFromRateBase!$J:$J,LinkFromRateBase!$E:$E,I$5,LinkFromRateBase!$F:$F,$D14)</f>
        <v>24303</v>
      </c>
      <c r="J14" s="31">
        <f>SUMIFS(LinkFromRateBase!$J:$J,LinkFromRateBase!$E:$E,J$5,LinkFromRateBase!$F:$F,$D14)</f>
        <v>0</v>
      </c>
      <c r="K14" s="31">
        <f>SUMIFS(LinkFromRateBase!$J:$J,LinkFromRateBase!$E:$E,K$5,LinkFromRateBase!$F:$F,$D14)</f>
        <v>0</v>
      </c>
      <c r="L14" s="31">
        <f>SUMIFS(LinkFromRateBase!$J:$J,LinkFromRateBase!$E:$E,L$5,LinkFromRateBase!$F:$F,$D14)</f>
        <v>0</v>
      </c>
      <c r="M14" s="31">
        <f>SUMIFS(LinkFromRateBase!$J:$J,LinkFromRateBase!$E:$E,M$5,LinkFromRateBase!$F:$F,$D14)</f>
        <v>0</v>
      </c>
      <c r="N14" s="31">
        <f>SUMIFS(LinkFromRateBase!$J:$J,LinkFromRateBase!$E:$E,N$5,LinkFromRateBase!$F:$F,$D14)</f>
        <v>0</v>
      </c>
      <c r="O14" s="31">
        <f>SUMIFS(LinkFromRateBase!$J:$J,LinkFromRateBase!$E:$E,O$5,LinkFromRateBase!$F:$F,$D14)</f>
        <v>0</v>
      </c>
      <c r="P14" s="31">
        <f>SUMIFS(LinkFromRateBase!$J:$J,LinkFromRateBase!$E:$E,P$5,LinkFromRateBase!$F:$F,$D14)</f>
        <v>0</v>
      </c>
      <c r="Q14" s="31">
        <f>SUMIFS(LinkFromRateBase!$J:$J,LinkFromRateBase!$E:$E,Q$5,LinkFromRateBase!$F:$F,$D14)</f>
        <v>0</v>
      </c>
      <c r="R14" s="31">
        <f>SUMIFS(LinkFromRateBase!$J:$J,LinkFromRateBase!$E:$E,R$5,LinkFromRateBase!$F:$F,$D14)</f>
        <v>0</v>
      </c>
      <c r="S14" s="31">
        <f>SUMIFS(LinkFromRateBase!$J:$J,LinkFromRateBase!$E:$E,S$5,LinkFromRateBase!$F:$F,$D14)</f>
        <v>0</v>
      </c>
      <c r="T14" s="31">
        <f>SUMIFS(LinkFromRateBase!$J:$J,LinkFromRateBase!$E:$E,T$5,LinkFromRateBase!$F:$F,$D14)</f>
        <v>0</v>
      </c>
      <c r="U14" s="31">
        <f>SUMIFS(LinkFromRateBase!$J:$J,LinkFromRateBase!$E:$E,U$5,LinkFromRateBase!$F:$F,$D14)</f>
        <v>0</v>
      </c>
      <c r="V14" s="31"/>
    </row>
    <row r="15" spans="1:22" x14ac:dyDescent="0.25">
      <c r="B15" s="226" t="s">
        <v>7199</v>
      </c>
      <c r="D15" s="2" t="s">
        <v>7983</v>
      </c>
      <c r="E15" s="6"/>
      <c r="F15" s="31">
        <f t="shared" si="1"/>
        <v>1357393.5</v>
      </c>
      <c r="G15" s="6"/>
      <c r="H15" s="31">
        <f>SUMIFS(LinkFromRateBase!$J:$J,LinkFromRateBase!$E:$E,H$5,LinkFromRateBase!$F:$F,$D15)</f>
        <v>0</v>
      </c>
      <c r="I15" s="31">
        <f>SUMIFS(LinkFromRateBase!$J:$J,LinkFromRateBase!$E:$E,I$5,LinkFromRateBase!$F:$F,$D15)</f>
        <v>1357393.5</v>
      </c>
      <c r="J15" s="31">
        <f>SUMIFS(LinkFromRateBase!$J:$J,LinkFromRateBase!$E:$E,J$5,LinkFromRateBase!$F:$F,$D15)</f>
        <v>0</v>
      </c>
      <c r="K15" s="31">
        <f>SUMIFS(LinkFromRateBase!$J:$J,LinkFromRateBase!$E:$E,K$5,LinkFromRateBase!$F:$F,$D15)</f>
        <v>0</v>
      </c>
      <c r="L15" s="31">
        <f>SUMIFS(LinkFromRateBase!$J:$J,LinkFromRateBase!$E:$E,L$5,LinkFromRateBase!$F:$F,$D15)</f>
        <v>0</v>
      </c>
      <c r="M15" s="31">
        <f>SUMIFS(LinkFromRateBase!$J:$J,LinkFromRateBase!$E:$E,M$5,LinkFromRateBase!$F:$F,$D15)</f>
        <v>0</v>
      </c>
      <c r="N15" s="31">
        <f>SUMIFS(LinkFromRateBase!$J:$J,LinkFromRateBase!$E:$E,N$5,LinkFromRateBase!$F:$F,$D15)</f>
        <v>0</v>
      </c>
      <c r="O15" s="31">
        <f>SUMIFS(LinkFromRateBase!$J:$J,LinkFromRateBase!$E:$E,O$5,LinkFromRateBase!$F:$F,$D15)</f>
        <v>0</v>
      </c>
      <c r="P15" s="31">
        <f>SUMIFS(LinkFromRateBase!$J:$J,LinkFromRateBase!$E:$E,P$5,LinkFromRateBase!$F:$F,$D15)</f>
        <v>0</v>
      </c>
      <c r="Q15" s="31">
        <f>SUMIFS(LinkFromRateBase!$J:$J,LinkFromRateBase!$E:$E,Q$5,LinkFromRateBase!$F:$F,$D15)</f>
        <v>0</v>
      </c>
      <c r="R15" s="31">
        <f>SUMIFS(LinkFromRateBase!$J:$J,LinkFromRateBase!$E:$E,R$5,LinkFromRateBase!$F:$F,$D15)</f>
        <v>0</v>
      </c>
      <c r="S15" s="31">
        <f>SUMIFS(LinkFromRateBase!$J:$J,LinkFromRateBase!$E:$E,S$5,LinkFromRateBase!$F:$F,$D15)</f>
        <v>0</v>
      </c>
      <c r="T15" s="31">
        <f>SUMIFS(LinkFromRateBase!$J:$J,LinkFromRateBase!$E:$E,T$5,LinkFromRateBase!$F:$F,$D15)</f>
        <v>0</v>
      </c>
      <c r="U15" s="31">
        <f>SUMIFS(LinkFromRateBase!$J:$J,LinkFromRateBase!$E:$E,U$5,LinkFromRateBase!$F:$F,$D15)</f>
        <v>0</v>
      </c>
      <c r="V15" s="31"/>
    </row>
    <row r="16" spans="1:22" x14ac:dyDescent="0.25">
      <c r="B16" s="225" t="s">
        <v>7210</v>
      </c>
      <c r="D16" s="2" t="s">
        <v>7985</v>
      </c>
      <c r="F16" s="31">
        <f t="shared" si="1"/>
        <v>50850</v>
      </c>
      <c r="H16" s="31">
        <f>SUMIFS(LinkFromRateBase!$J:$J,LinkFromRateBase!$E:$E,H$5,LinkFromRateBase!$F:$F,$D16)</f>
        <v>0</v>
      </c>
      <c r="I16" s="31">
        <f>SUMIFS(LinkFromRateBase!$J:$J,LinkFromRateBase!$E:$E,I$5,LinkFromRateBase!$F:$F,$D16)</f>
        <v>50850</v>
      </c>
      <c r="J16" s="31">
        <f>SUMIFS(LinkFromRateBase!$J:$J,LinkFromRateBase!$E:$E,J$5,LinkFromRateBase!$F:$F,$D16)</f>
        <v>0</v>
      </c>
      <c r="K16" s="31">
        <f>SUMIFS(LinkFromRateBase!$J:$J,LinkFromRateBase!$E:$E,K$5,LinkFromRateBase!$F:$F,$D16)</f>
        <v>0</v>
      </c>
      <c r="L16" s="31">
        <f>SUMIFS(LinkFromRateBase!$J:$J,LinkFromRateBase!$E:$E,L$5,LinkFromRateBase!$F:$F,$D16)</f>
        <v>0</v>
      </c>
      <c r="M16" s="31">
        <f>SUMIFS(LinkFromRateBase!$J:$J,LinkFromRateBase!$E:$E,M$5,LinkFromRateBase!$F:$F,$D16)</f>
        <v>0</v>
      </c>
      <c r="N16" s="31">
        <f>SUMIFS(LinkFromRateBase!$J:$J,LinkFromRateBase!$E:$E,N$5,LinkFromRateBase!$F:$F,$D16)</f>
        <v>0</v>
      </c>
      <c r="O16" s="31">
        <f>SUMIFS(LinkFromRateBase!$J:$J,LinkFromRateBase!$E:$E,O$5,LinkFromRateBase!$F:$F,$D16)</f>
        <v>0</v>
      </c>
      <c r="P16" s="31">
        <f>SUMIFS(LinkFromRateBase!$J:$J,LinkFromRateBase!$E:$E,P$5,LinkFromRateBase!$F:$F,$D16)</f>
        <v>0</v>
      </c>
      <c r="Q16" s="31">
        <f>SUMIFS(LinkFromRateBase!$J:$J,LinkFromRateBase!$E:$E,Q$5,LinkFromRateBase!$F:$F,$D16)</f>
        <v>0</v>
      </c>
      <c r="R16" s="31">
        <f>SUMIFS(LinkFromRateBase!$J:$J,LinkFromRateBase!$E:$E,R$5,LinkFromRateBase!$F:$F,$D16)</f>
        <v>0</v>
      </c>
      <c r="S16" s="31">
        <f>SUMIFS(LinkFromRateBase!$J:$J,LinkFromRateBase!$E:$E,S$5,LinkFromRateBase!$F:$F,$D16)</f>
        <v>0</v>
      </c>
      <c r="T16" s="31">
        <f>SUMIFS(LinkFromRateBase!$J:$J,LinkFromRateBase!$E:$E,T$5,LinkFromRateBase!$F:$F,$D16)</f>
        <v>0</v>
      </c>
      <c r="U16" s="31">
        <f>SUMIFS(LinkFromRateBase!$J:$J,LinkFromRateBase!$E:$E,U$5,LinkFromRateBase!$F:$F,$D16)</f>
        <v>0</v>
      </c>
      <c r="V16" s="31"/>
    </row>
    <row r="17" spans="2:22" x14ac:dyDescent="0.25">
      <c r="B17" s="225" t="s">
        <v>7211</v>
      </c>
      <c r="D17" s="2" t="s">
        <v>7987</v>
      </c>
      <c r="F17" s="31">
        <f t="shared" si="1"/>
        <v>2534508.5</v>
      </c>
      <c r="H17" s="31">
        <f>SUMIFS(LinkFromRateBase!$J:$J,LinkFromRateBase!$E:$E,H$5,LinkFromRateBase!$F:$F,$D17)</f>
        <v>0</v>
      </c>
      <c r="I17" s="31">
        <f>SUMIFS(LinkFromRateBase!$J:$J,LinkFromRateBase!$E:$E,I$5,LinkFromRateBase!$F:$F,$D17)</f>
        <v>2534508.5</v>
      </c>
      <c r="J17" s="31">
        <f>SUMIFS(LinkFromRateBase!$J:$J,LinkFromRateBase!$E:$E,J$5,LinkFromRateBase!$F:$F,$D17)</f>
        <v>0</v>
      </c>
      <c r="K17" s="31">
        <f>SUMIFS(LinkFromRateBase!$J:$J,LinkFromRateBase!$E:$E,K$5,LinkFromRateBase!$F:$F,$D17)</f>
        <v>0</v>
      </c>
      <c r="L17" s="31">
        <f>SUMIFS(LinkFromRateBase!$J:$J,LinkFromRateBase!$E:$E,L$5,LinkFromRateBase!$F:$F,$D17)</f>
        <v>0</v>
      </c>
      <c r="M17" s="31">
        <f>SUMIFS(LinkFromRateBase!$J:$J,LinkFromRateBase!$E:$E,M$5,LinkFromRateBase!$F:$F,$D17)</f>
        <v>0</v>
      </c>
      <c r="N17" s="31">
        <f>SUMIFS(LinkFromRateBase!$J:$J,LinkFromRateBase!$E:$E,N$5,LinkFromRateBase!$F:$F,$D17)</f>
        <v>0</v>
      </c>
      <c r="O17" s="31">
        <f>SUMIFS(LinkFromRateBase!$J:$J,LinkFromRateBase!$E:$E,O$5,LinkFromRateBase!$F:$F,$D17)</f>
        <v>0</v>
      </c>
      <c r="P17" s="31">
        <f>SUMIFS(LinkFromRateBase!$J:$J,LinkFromRateBase!$E:$E,P$5,LinkFromRateBase!$F:$F,$D17)</f>
        <v>0</v>
      </c>
      <c r="Q17" s="31">
        <f>SUMIFS(LinkFromRateBase!$J:$J,LinkFromRateBase!$E:$E,Q$5,LinkFromRateBase!$F:$F,$D17)</f>
        <v>0</v>
      </c>
      <c r="R17" s="31">
        <f>SUMIFS(LinkFromRateBase!$J:$J,LinkFromRateBase!$E:$E,R$5,LinkFromRateBase!$F:$F,$D17)</f>
        <v>0</v>
      </c>
      <c r="S17" s="31">
        <f>SUMIFS(LinkFromRateBase!$J:$J,LinkFromRateBase!$E:$E,S$5,LinkFromRateBase!$F:$F,$D17)</f>
        <v>0</v>
      </c>
      <c r="T17" s="31">
        <f>SUMIFS(LinkFromRateBase!$J:$J,LinkFromRateBase!$E:$E,T$5,LinkFromRateBase!$F:$F,$D17)</f>
        <v>0</v>
      </c>
      <c r="U17" s="31">
        <f>SUMIFS(LinkFromRateBase!$J:$J,LinkFromRateBase!$E:$E,U$5,LinkFromRateBase!$F:$F,$D17)</f>
        <v>0</v>
      </c>
      <c r="V17" s="31"/>
    </row>
    <row r="18" spans="2:22" x14ac:dyDescent="0.25">
      <c r="B18" s="225" t="s">
        <v>7214</v>
      </c>
      <c r="D18" s="2" t="s">
        <v>7989</v>
      </c>
      <c r="F18" s="31">
        <f t="shared" si="1"/>
        <v>63105</v>
      </c>
      <c r="H18" s="31">
        <f>SUMIFS(LinkFromRateBase!$J:$J,LinkFromRateBase!$E:$E,H$5,LinkFromRateBase!$F:$F,$D18)</f>
        <v>0</v>
      </c>
      <c r="I18" s="31">
        <f>SUMIFS(LinkFromRateBase!$J:$J,LinkFromRateBase!$E:$E,I$5,LinkFromRateBase!$F:$F,$D18)</f>
        <v>63105</v>
      </c>
      <c r="J18" s="31">
        <f>SUMIFS(LinkFromRateBase!$J:$J,LinkFromRateBase!$E:$E,J$5,LinkFromRateBase!$F:$F,$D18)</f>
        <v>0</v>
      </c>
      <c r="K18" s="31">
        <f>SUMIFS(LinkFromRateBase!$J:$J,LinkFromRateBase!$E:$E,K$5,LinkFromRateBase!$F:$F,$D18)</f>
        <v>0</v>
      </c>
      <c r="L18" s="31">
        <f>SUMIFS(LinkFromRateBase!$J:$J,LinkFromRateBase!$E:$E,L$5,LinkFromRateBase!$F:$F,$D18)</f>
        <v>0</v>
      </c>
      <c r="M18" s="31">
        <f>SUMIFS(LinkFromRateBase!$J:$J,LinkFromRateBase!$E:$E,M$5,LinkFromRateBase!$F:$F,$D18)</f>
        <v>0</v>
      </c>
      <c r="N18" s="31">
        <f>SUMIFS(LinkFromRateBase!$J:$J,LinkFromRateBase!$E:$E,N$5,LinkFromRateBase!$F:$F,$D18)</f>
        <v>0</v>
      </c>
      <c r="O18" s="31">
        <f>SUMIFS(LinkFromRateBase!$J:$J,LinkFromRateBase!$E:$E,O$5,LinkFromRateBase!$F:$F,$D18)</f>
        <v>0</v>
      </c>
      <c r="P18" s="31">
        <f>SUMIFS(LinkFromRateBase!$J:$J,LinkFromRateBase!$E:$E,P$5,LinkFromRateBase!$F:$F,$D18)</f>
        <v>0</v>
      </c>
      <c r="Q18" s="31">
        <f>SUMIFS(LinkFromRateBase!$J:$J,LinkFromRateBase!$E:$E,Q$5,LinkFromRateBase!$F:$F,$D18)</f>
        <v>0</v>
      </c>
      <c r="R18" s="31">
        <f>SUMIFS(LinkFromRateBase!$J:$J,LinkFromRateBase!$E:$E,R$5,LinkFromRateBase!$F:$F,$D18)</f>
        <v>0</v>
      </c>
      <c r="S18" s="31">
        <f>SUMIFS(LinkFromRateBase!$J:$J,LinkFromRateBase!$E:$E,S$5,LinkFromRateBase!$F:$F,$D18)</f>
        <v>0</v>
      </c>
      <c r="T18" s="31">
        <f>SUMIFS(LinkFromRateBase!$J:$J,LinkFromRateBase!$E:$E,T$5,LinkFromRateBase!$F:$F,$D18)</f>
        <v>0</v>
      </c>
      <c r="U18" s="31">
        <f>SUMIFS(LinkFromRateBase!$J:$J,LinkFromRateBase!$E:$E,U$5,LinkFromRateBase!$F:$F,$D18)</f>
        <v>0</v>
      </c>
      <c r="V18" s="31"/>
    </row>
    <row r="19" spans="2:22" x14ac:dyDescent="0.25">
      <c r="B19" s="14"/>
      <c r="H19" s="31"/>
      <c r="I19" s="31"/>
      <c r="J19" s="31"/>
      <c r="K19" s="31"/>
      <c r="L19" s="62"/>
      <c r="M19" s="62"/>
      <c r="N19" s="62"/>
      <c r="O19" s="62"/>
      <c r="P19" s="31"/>
      <c r="Q19" s="31"/>
      <c r="R19" s="31"/>
      <c r="S19" s="31"/>
      <c r="T19" s="31"/>
      <c r="U19" s="31"/>
      <c r="V19" s="31"/>
    </row>
    <row r="20" spans="2:22" x14ac:dyDescent="0.25">
      <c r="B20" s="14"/>
      <c r="C20" s="1" t="s">
        <v>6925</v>
      </c>
      <c r="H20" s="31"/>
      <c r="I20" s="31"/>
      <c r="J20" s="31"/>
      <c r="K20" s="31"/>
      <c r="L20" s="62"/>
      <c r="M20" s="62"/>
      <c r="N20" s="62"/>
      <c r="O20" s="62"/>
      <c r="P20" s="31"/>
      <c r="Q20" s="31"/>
      <c r="R20" s="31"/>
      <c r="S20" s="31"/>
      <c r="T20" s="31"/>
      <c r="U20" s="31"/>
      <c r="V20" s="31"/>
    </row>
    <row r="21" spans="2:22" x14ac:dyDescent="0.25">
      <c r="B21" s="226" t="s">
        <v>7190</v>
      </c>
      <c r="D21" s="15" t="s">
        <v>7991</v>
      </c>
      <c r="F21" s="31">
        <f t="shared" ref="F21:F25" si="2">SUM(H21:U21)</f>
        <v>261818</v>
      </c>
      <c r="H21" s="31">
        <f>SUMIFS(LinkFromRateBase!$J:$J,LinkFromRateBase!$E:$E,H$5,LinkFromRateBase!$F:$F,$D21)</f>
        <v>0</v>
      </c>
      <c r="I21" s="31">
        <f>SUMIFS(LinkFromRateBase!$J:$J,LinkFromRateBase!$E:$E,I$5,LinkFromRateBase!$F:$F,$D21)</f>
        <v>261818</v>
      </c>
      <c r="J21" s="31">
        <f>SUMIFS(LinkFromRateBase!$J:$J,LinkFromRateBase!$E:$E,J$5,LinkFromRateBase!$F:$F,$D21)</f>
        <v>0</v>
      </c>
      <c r="K21" s="31">
        <f>SUMIFS(LinkFromRateBase!$J:$J,LinkFromRateBase!$E:$E,K$5,LinkFromRateBase!$F:$F,$D21)</f>
        <v>0</v>
      </c>
      <c r="L21" s="31">
        <f>SUMIFS(LinkFromRateBase!$J:$J,LinkFromRateBase!$E:$E,L$5,LinkFromRateBase!$F:$F,$D21)</f>
        <v>0</v>
      </c>
      <c r="M21" s="31">
        <f>SUMIFS(LinkFromRateBase!$J:$J,LinkFromRateBase!$E:$E,M$5,LinkFromRateBase!$F:$F,$D21)</f>
        <v>0</v>
      </c>
      <c r="N21" s="31">
        <f>SUMIFS(LinkFromRateBase!$J:$J,LinkFromRateBase!$E:$E,N$5,LinkFromRateBase!$F:$F,$D21)</f>
        <v>0</v>
      </c>
      <c r="O21" s="31">
        <f>SUMIFS(LinkFromRateBase!$J:$J,LinkFromRateBase!$E:$E,O$5,LinkFromRateBase!$F:$F,$D21)</f>
        <v>0</v>
      </c>
      <c r="P21" s="31">
        <f>SUMIFS(LinkFromRateBase!$J:$J,LinkFromRateBase!$E:$E,P$5,LinkFromRateBase!$F:$F,$D21)</f>
        <v>0</v>
      </c>
      <c r="Q21" s="31">
        <f>SUMIFS(LinkFromRateBase!$J:$J,LinkFromRateBase!$E:$E,Q$5,LinkFromRateBase!$F:$F,$D21)</f>
        <v>0</v>
      </c>
      <c r="R21" s="31">
        <f>SUMIFS(LinkFromRateBase!$J:$J,LinkFromRateBase!$E:$E,R$5,LinkFromRateBase!$F:$F,$D21)</f>
        <v>0</v>
      </c>
      <c r="S21" s="31">
        <f>SUMIFS(LinkFromRateBase!$J:$J,LinkFromRateBase!$E:$E,S$5,LinkFromRateBase!$F:$F,$D21)</f>
        <v>0</v>
      </c>
      <c r="T21" s="31">
        <f>SUMIFS(LinkFromRateBase!$J:$J,LinkFromRateBase!$E:$E,T$5,LinkFromRateBase!$F:$F,$D21)</f>
        <v>0</v>
      </c>
      <c r="U21" s="31">
        <f>SUMIFS(LinkFromRateBase!$J:$J,LinkFromRateBase!$E:$E,U$5,LinkFromRateBase!$F:$F,$D21)</f>
        <v>0</v>
      </c>
      <c r="V21" s="31"/>
    </row>
    <row r="22" spans="2:22" x14ac:dyDescent="0.25">
      <c r="B22" s="225" t="s">
        <v>7199</v>
      </c>
      <c r="D22" s="2" t="s">
        <v>7993</v>
      </c>
      <c r="F22" s="31">
        <f t="shared" si="2"/>
        <v>3850765</v>
      </c>
      <c r="H22" s="31">
        <f>SUMIFS(LinkFromRateBase!$J:$J,LinkFromRateBase!$E:$E,H$5,LinkFromRateBase!$F:$F,$D22)</f>
        <v>0</v>
      </c>
      <c r="I22" s="31">
        <f>SUMIFS(LinkFromRateBase!$J:$J,LinkFromRateBase!$E:$E,I$5,LinkFromRateBase!$F:$F,$D22)</f>
        <v>3850765</v>
      </c>
      <c r="J22" s="31">
        <f>SUMIFS(LinkFromRateBase!$J:$J,LinkFromRateBase!$E:$E,J$5,LinkFromRateBase!$F:$F,$D22)</f>
        <v>0</v>
      </c>
      <c r="K22" s="31">
        <f>SUMIFS(LinkFromRateBase!$J:$J,LinkFromRateBase!$E:$E,K$5,LinkFromRateBase!$F:$F,$D22)</f>
        <v>0</v>
      </c>
      <c r="L22" s="31">
        <f>SUMIFS(LinkFromRateBase!$J:$J,LinkFromRateBase!$E:$E,L$5,LinkFromRateBase!$F:$F,$D22)</f>
        <v>0</v>
      </c>
      <c r="M22" s="31">
        <f>SUMIFS(LinkFromRateBase!$J:$J,LinkFromRateBase!$E:$E,M$5,LinkFromRateBase!$F:$F,$D22)</f>
        <v>0</v>
      </c>
      <c r="N22" s="31">
        <f>SUMIFS(LinkFromRateBase!$J:$J,LinkFromRateBase!$E:$E,N$5,LinkFromRateBase!$F:$F,$D22)</f>
        <v>0</v>
      </c>
      <c r="O22" s="31">
        <f>SUMIFS(LinkFromRateBase!$J:$J,LinkFromRateBase!$E:$E,O$5,LinkFromRateBase!$F:$F,$D22)</f>
        <v>0</v>
      </c>
      <c r="P22" s="31">
        <f>SUMIFS(LinkFromRateBase!$J:$J,LinkFromRateBase!$E:$E,P$5,LinkFromRateBase!$F:$F,$D22)</f>
        <v>0</v>
      </c>
      <c r="Q22" s="31">
        <f>SUMIFS(LinkFromRateBase!$J:$J,LinkFromRateBase!$E:$E,Q$5,LinkFromRateBase!$F:$F,$D22)</f>
        <v>0</v>
      </c>
      <c r="R22" s="31">
        <f>SUMIFS(LinkFromRateBase!$J:$J,LinkFromRateBase!$E:$E,R$5,LinkFromRateBase!$F:$F,$D22)</f>
        <v>0</v>
      </c>
      <c r="S22" s="31">
        <f>SUMIFS(LinkFromRateBase!$J:$J,LinkFromRateBase!$E:$E,S$5,LinkFromRateBase!$F:$F,$D22)</f>
        <v>0</v>
      </c>
      <c r="T22" s="31">
        <f>SUMIFS(LinkFromRateBase!$J:$J,LinkFromRateBase!$E:$E,T$5,LinkFromRateBase!$F:$F,$D22)</f>
        <v>0</v>
      </c>
      <c r="U22" s="31">
        <f>SUMIFS(LinkFromRateBase!$J:$J,LinkFromRateBase!$E:$E,U$5,LinkFromRateBase!$F:$F,$D22)</f>
        <v>0</v>
      </c>
      <c r="V22" s="31"/>
    </row>
    <row r="23" spans="2:22" x14ac:dyDescent="0.25">
      <c r="B23" s="225" t="s">
        <v>7216</v>
      </c>
      <c r="D23" s="2" t="s">
        <v>7995</v>
      </c>
      <c r="F23" s="31">
        <f t="shared" si="2"/>
        <v>601432</v>
      </c>
      <c r="H23" s="31">
        <f>SUMIFS(LinkFromRateBase!$J:$J,LinkFromRateBase!$E:$E,H$5,LinkFromRateBase!$F:$F,$D23)</f>
        <v>0</v>
      </c>
      <c r="I23" s="31">
        <f>SUMIFS(LinkFromRateBase!$J:$J,LinkFromRateBase!$E:$E,I$5,LinkFromRateBase!$F:$F,$D23)</f>
        <v>0</v>
      </c>
      <c r="J23" s="31">
        <f>SUMIFS(LinkFromRateBase!$J:$J,LinkFromRateBase!$E:$E,J$5,LinkFromRateBase!$F:$F,$D23)</f>
        <v>0</v>
      </c>
      <c r="K23" s="31">
        <f>SUMIFS(LinkFromRateBase!$J:$J,LinkFromRateBase!$E:$E,K$5,LinkFromRateBase!$F:$F,$D23)</f>
        <v>601432</v>
      </c>
      <c r="L23" s="31">
        <f>SUMIFS(LinkFromRateBase!$J:$J,LinkFromRateBase!$E:$E,L$5,LinkFromRateBase!$F:$F,$D23)</f>
        <v>0</v>
      </c>
      <c r="M23" s="31">
        <f>SUMIFS(LinkFromRateBase!$J:$J,LinkFromRateBase!$E:$E,M$5,LinkFromRateBase!$F:$F,$D23)</f>
        <v>0</v>
      </c>
      <c r="N23" s="31">
        <f>SUMIFS(LinkFromRateBase!$J:$J,LinkFromRateBase!$E:$E,N$5,LinkFromRateBase!$F:$F,$D23)</f>
        <v>0</v>
      </c>
      <c r="O23" s="31">
        <f>SUMIFS(LinkFromRateBase!$J:$J,LinkFromRateBase!$E:$E,O$5,LinkFromRateBase!$F:$F,$D23)</f>
        <v>0</v>
      </c>
      <c r="P23" s="31">
        <f>SUMIFS(LinkFromRateBase!$J:$J,LinkFromRateBase!$E:$E,P$5,LinkFromRateBase!$F:$F,$D23)</f>
        <v>0</v>
      </c>
      <c r="Q23" s="31">
        <f>SUMIFS(LinkFromRateBase!$J:$J,LinkFromRateBase!$E:$E,Q$5,LinkFromRateBase!$F:$F,$D23)</f>
        <v>0</v>
      </c>
      <c r="R23" s="31">
        <f>SUMIFS(LinkFromRateBase!$J:$J,LinkFromRateBase!$E:$E,R$5,LinkFromRateBase!$F:$F,$D23)</f>
        <v>0</v>
      </c>
      <c r="S23" s="31">
        <f>SUMIFS(LinkFromRateBase!$J:$J,LinkFromRateBase!$E:$E,S$5,LinkFromRateBase!$F:$F,$D23)</f>
        <v>0</v>
      </c>
      <c r="T23" s="31">
        <f>SUMIFS(LinkFromRateBase!$J:$J,LinkFromRateBase!$E:$E,T$5,LinkFromRateBase!$F:$F,$D23)</f>
        <v>0</v>
      </c>
      <c r="U23" s="31">
        <f>SUMIFS(LinkFromRateBase!$J:$J,LinkFromRateBase!$E:$E,U$5,LinkFromRateBase!$F:$F,$D23)</f>
        <v>0</v>
      </c>
      <c r="V23" s="31"/>
    </row>
    <row r="24" spans="2:22" x14ac:dyDescent="0.25">
      <c r="B24" s="225" t="s">
        <v>7218</v>
      </c>
      <c r="D24" s="2" t="s">
        <v>7997</v>
      </c>
      <c r="F24" s="31">
        <f t="shared" si="2"/>
        <v>4642807</v>
      </c>
      <c r="H24" s="31">
        <f>SUMIFS(LinkFromRateBase!$J:$J,LinkFromRateBase!$E:$E,H$5,LinkFromRateBase!$F:$F,$D24)</f>
        <v>0</v>
      </c>
      <c r="I24" s="31">
        <f>SUMIFS(LinkFromRateBase!$J:$J,LinkFromRateBase!$E:$E,I$5,LinkFromRateBase!$F:$F,$D24)</f>
        <v>0</v>
      </c>
      <c r="J24" s="31">
        <f>SUMIFS(LinkFromRateBase!$J:$J,LinkFromRateBase!$E:$E,J$5,LinkFromRateBase!$F:$F,$D24)</f>
        <v>0</v>
      </c>
      <c r="K24" s="31">
        <f>SUMIFS(LinkFromRateBase!$J:$J,LinkFromRateBase!$E:$E,K$5,LinkFromRateBase!$F:$F,$D24)</f>
        <v>4642807</v>
      </c>
      <c r="L24" s="31">
        <f>SUMIFS(LinkFromRateBase!$J:$J,LinkFromRateBase!$E:$E,L$5,LinkFromRateBase!$F:$F,$D24)</f>
        <v>0</v>
      </c>
      <c r="M24" s="31">
        <f>SUMIFS(LinkFromRateBase!$J:$J,LinkFromRateBase!$E:$E,M$5,LinkFromRateBase!$F:$F,$D24)</f>
        <v>0</v>
      </c>
      <c r="N24" s="31">
        <f>SUMIFS(LinkFromRateBase!$J:$J,LinkFromRateBase!$E:$E,N$5,LinkFromRateBase!$F:$F,$D24)</f>
        <v>0</v>
      </c>
      <c r="O24" s="31">
        <f>SUMIFS(LinkFromRateBase!$J:$J,LinkFromRateBase!$E:$E,O$5,LinkFromRateBase!$F:$F,$D24)</f>
        <v>0</v>
      </c>
      <c r="P24" s="31">
        <f>SUMIFS(LinkFromRateBase!$J:$J,LinkFromRateBase!$E:$E,P$5,LinkFromRateBase!$F:$F,$D24)</f>
        <v>0</v>
      </c>
      <c r="Q24" s="31">
        <f>SUMIFS(LinkFromRateBase!$J:$J,LinkFromRateBase!$E:$E,Q$5,LinkFromRateBase!$F:$F,$D24)</f>
        <v>0</v>
      </c>
      <c r="R24" s="31">
        <f>SUMIFS(LinkFromRateBase!$J:$J,LinkFromRateBase!$E:$E,R$5,LinkFromRateBase!$F:$F,$D24)</f>
        <v>0</v>
      </c>
      <c r="S24" s="31">
        <f>SUMIFS(LinkFromRateBase!$J:$J,LinkFromRateBase!$E:$E,S$5,LinkFromRateBase!$F:$F,$D24)</f>
        <v>0</v>
      </c>
      <c r="T24" s="31">
        <f>SUMIFS(LinkFromRateBase!$J:$J,LinkFromRateBase!$E:$E,T$5,LinkFromRateBase!$F:$F,$D24)</f>
        <v>0</v>
      </c>
      <c r="U24" s="31">
        <f>SUMIFS(LinkFromRateBase!$J:$J,LinkFromRateBase!$E:$E,U$5,LinkFromRateBase!$F:$F,$D24)</f>
        <v>0</v>
      </c>
      <c r="V24" s="31"/>
    </row>
    <row r="25" spans="2:22" x14ac:dyDescent="0.25">
      <c r="B25" s="225" t="s">
        <v>7218</v>
      </c>
      <c r="D25" s="2" t="s">
        <v>7999</v>
      </c>
      <c r="F25" s="31">
        <f t="shared" si="2"/>
        <v>52256.5</v>
      </c>
      <c r="H25" s="31">
        <f>SUMIFS(LinkFromRateBase!$J:$J,LinkFromRateBase!$E:$E,H$5,LinkFromRateBase!$F:$F,$D25)</f>
        <v>0</v>
      </c>
      <c r="I25" s="31">
        <f>SUMIFS(LinkFromRateBase!$J:$J,LinkFromRateBase!$E:$E,I$5,LinkFromRateBase!$F:$F,$D25)</f>
        <v>0</v>
      </c>
      <c r="J25" s="31">
        <f>SUMIFS(LinkFromRateBase!$J:$J,LinkFromRateBase!$E:$E,J$5,LinkFromRateBase!$F:$F,$D25)</f>
        <v>0</v>
      </c>
      <c r="K25" s="31">
        <f>SUMIFS(LinkFromRateBase!$J:$J,LinkFromRateBase!$E:$E,K$5,LinkFromRateBase!$F:$F,$D25)</f>
        <v>52256.5</v>
      </c>
      <c r="L25" s="31">
        <f>SUMIFS(LinkFromRateBase!$J:$J,LinkFromRateBase!$E:$E,L$5,LinkFromRateBase!$F:$F,$D25)</f>
        <v>0</v>
      </c>
      <c r="M25" s="31">
        <f>SUMIFS(LinkFromRateBase!$J:$J,LinkFromRateBase!$E:$E,M$5,LinkFromRateBase!$F:$F,$D25)</f>
        <v>0</v>
      </c>
      <c r="N25" s="31">
        <f>SUMIFS(LinkFromRateBase!$J:$J,LinkFromRateBase!$E:$E,N$5,LinkFromRateBase!$F:$F,$D25)</f>
        <v>0</v>
      </c>
      <c r="O25" s="31">
        <f>SUMIFS(LinkFromRateBase!$J:$J,LinkFromRateBase!$E:$E,O$5,LinkFromRateBase!$F:$F,$D25)</f>
        <v>0</v>
      </c>
      <c r="P25" s="31">
        <f>SUMIFS(LinkFromRateBase!$J:$J,LinkFromRateBase!$E:$E,P$5,LinkFromRateBase!$F:$F,$D25)</f>
        <v>0</v>
      </c>
      <c r="Q25" s="31">
        <f>SUMIFS(LinkFromRateBase!$J:$J,LinkFromRateBase!$E:$E,Q$5,LinkFromRateBase!$F:$F,$D25)</f>
        <v>0</v>
      </c>
      <c r="R25" s="31">
        <f>SUMIFS(LinkFromRateBase!$J:$J,LinkFromRateBase!$E:$E,R$5,LinkFromRateBase!$F:$F,$D25)</f>
        <v>0</v>
      </c>
      <c r="S25" s="31">
        <f>SUMIFS(LinkFromRateBase!$J:$J,LinkFromRateBase!$E:$E,S$5,LinkFromRateBase!$F:$F,$D25)</f>
        <v>0</v>
      </c>
      <c r="T25" s="31">
        <f>SUMIFS(LinkFromRateBase!$J:$J,LinkFromRateBase!$E:$E,T$5,LinkFromRateBase!$F:$F,$D25)</f>
        <v>0</v>
      </c>
      <c r="U25" s="31">
        <f>SUMIFS(LinkFromRateBase!$J:$J,LinkFromRateBase!$E:$E,U$5,LinkFromRateBase!$F:$F,$D25)</f>
        <v>0</v>
      </c>
      <c r="V25" s="31"/>
    </row>
    <row r="26" spans="2:22" x14ac:dyDescent="0.25">
      <c r="B26" s="13"/>
      <c r="H26" s="31"/>
      <c r="I26" s="31"/>
      <c r="J26" s="31"/>
      <c r="K26" s="31"/>
      <c r="L26" s="62"/>
      <c r="M26" s="62"/>
      <c r="N26" s="62"/>
      <c r="O26" s="62"/>
      <c r="P26" s="31"/>
      <c r="Q26" s="31"/>
      <c r="R26" s="31"/>
      <c r="S26" s="31"/>
      <c r="T26" s="31"/>
      <c r="U26" s="31"/>
      <c r="V26" s="31"/>
    </row>
    <row r="27" spans="2:22" x14ac:dyDescent="0.25">
      <c r="B27" s="14"/>
      <c r="C27" s="1" t="s">
        <v>6926</v>
      </c>
      <c r="H27" s="31"/>
      <c r="I27" s="31"/>
      <c r="J27" s="31"/>
      <c r="K27" s="31"/>
      <c r="L27" s="62"/>
      <c r="M27" s="62"/>
      <c r="N27" s="62"/>
      <c r="O27" s="62"/>
      <c r="P27" s="31"/>
      <c r="Q27" s="31"/>
      <c r="R27" s="31"/>
      <c r="S27" s="31"/>
      <c r="T27" s="31"/>
      <c r="U27" s="31"/>
      <c r="V27" s="31"/>
    </row>
    <row r="28" spans="2:22" x14ac:dyDescent="0.25">
      <c r="B28" s="227" t="s">
        <v>7193</v>
      </c>
      <c r="D28" s="15" t="s">
        <v>8001</v>
      </c>
      <c r="F28" s="31">
        <f t="shared" ref="F28:F33" si="3">SUM(H28:U28)</f>
        <v>2874</v>
      </c>
      <c r="H28" s="31">
        <f>SUMIFS(LinkFromRateBase!$J:$J,LinkFromRateBase!$E:$E,H$5,LinkFromRateBase!$F:$F,$D28)</f>
        <v>0</v>
      </c>
      <c r="I28" s="31">
        <f>SUMIFS(LinkFromRateBase!$J:$J,LinkFromRateBase!$E:$E,I$5,LinkFromRateBase!$F:$F,$D28)</f>
        <v>0</v>
      </c>
      <c r="J28" s="31">
        <f>SUMIFS(LinkFromRateBase!$J:$J,LinkFromRateBase!$E:$E,J$5,LinkFromRateBase!$F:$F,$D28)</f>
        <v>2874</v>
      </c>
      <c r="K28" s="31">
        <f>SUMIFS(LinkFromRateBase!$J:$J,LinkFromRateBase!$E:$E,K$5,LinkFromRateBase!$F:$F,$D28)</f>
        <v>0</v>
      </c>
      <c r="L28" s="31">
        <f>SUMIFS(LinkFromRateBase!$J:$J,LinkFromRateBase!$E:$E,L$5,LinkFromRateBase!$F:$F,$D28)</f>
        <v>0</v>
      </c>
      <c r="M28" s="31">
        <f>SUMIFS(LinkFromRateBase!$J:$J,LinkFromRateBase!$E:$E,M$5,LinkFromRateBase!$F:$F,$D28)</f>
        <v>0</v>
      </c>
      <c r="N28" s="31">
        <f>SUMIFS(LinkFromRateBase!$J:$J,LinkFromRateBase!$E:$E,N$5,LinkFromRateBase!$F:$F,$D28)</f>
        <v>0</v>
      </c>
      <c r="O28" s="31">
        <f>SUMIFS(LinkFromRateBase!$J:$J,LinkFromRateBase!$E:$E,O$5,LinkFromRateBase!$F:$F,$D28)</f>
        <v>0</v>
      </c>
      <c r="P28" s="31">
        <f>SUMIFS(LinkFromRateBase!$J:$J,LinkFromRateBase!$E:$E,P$5,LinkFromRateBase!$F:$F,$D28)</f>
        <v>0</v>
      </c>
      <c r="Q28" s="31">
        <f>SUMIFS(LinkFromRateBase!$J:$J,LinkFromRateBase!$E:$E,Q$5,LinkFromRateBase!$F:$F,$D28)</f>
        <v>0</v>
      </c>
      <c r="R28" s="31">
        <f>SUMIFS(LinkFromRateBase!$J:$J,LinkFromRateBase!$E:$E,R$5,LinkFromRateBase!$F:$F,$D28)</f>
        <v>0</v>
      </c>
      <c r="S28" s="31">
        <f>SUMIFS(LinkFromRateBase!$J:$J,LinkFromRateBase!$E:$E,S$5,LinkFromRateBase!$F:$F,$D28)</f>
        <v>0</v>
      </c>
      <c r="T28" s="31">
        <f>SUMIFS(LinkFromRateBase!$J:$J,LinkFromRateBase!$E:$E,T$5,LinkFromRateBase!$F:$F,$D28)</f>
        <v>0</v>
      </c>
      <c r="U28" s="31">
        <f>SUMIFS(LinkFromRateBase!$J:$J,LinkFromRateBase!$E:$E,U$5,LinkFromRateBase!$F:$F,$D28)</f>
        <v>0</v>
      </c>
      <c r="V28" s="31"/>
    </row>
    <row r="29" spans="2:22" x14ac:dyDescent="0.25">
      <c r="B29" s="225" t="s">
        <v>7202</v>
      </c>
      <c r="D29" s="2" t="s">
        <v>8003</v>
      </c>
      <c r="F29" s="31">
        <f t="shared" si="3"/>
        <v>11531202</v>
      </c>
      <c r="H29" s="31">
        <f>SUMIFS(LinkFromRateBase!$J:$J,LinkFromRateBase!$E:$E,H$5,LinkFromRateBase!$F:$F,$D29)</f>
        <v>0</v>
      </c>
      <c r="I29" s="31">
        <f>SUMIFS(LinkFromRateBase!$J:$J,LinkFromRateBase!$E:$E,I$5,LinkFromRateBase!$F:$F,$D29)</f>
        <v>0</v>
      </c>
      <c r="J29" s="31">
        <f>SUMIFS(LinkFromRateBase!$J:$J,LinkFromRateBase!$E:$E,J$5,LinkFromRateBase!$F:$F,$D29)</f>
        <v>11531202</v>
      </c>
      <c r="K29" s="31">
        <f>SUMIFS(LinkFromRateBase!$J:$J,LinkFromRateBase!$E:$E,K$5,LinkFromRateBase!$F:$F,$D29)</f>
        <v>0</v>
      </c>
      <c r="L29" s="31">
        <f>SUMIFS(LinkFromRateBase!$J:$J,LinkFromRateBase!$E:$E,L$5,LinkFromRateBase!$F:$F,$D29)</f>
        <v>0</v>
      </c>
      <c r="M29" s="31">
        <f>SUMIFS(LinkFromRateBase!$J:$J,LinkFromRateBase!$E:$E,M$5,LinkFromRateBase!$F:$F,$D29)</f>
        <v>0</v>
      </c>
      <c r="N29" s="31">
        <f>SUMIFS(LinkFromRateBase!$J:$J,LinkFromRateBase!$E:$E,N$5,LinkFromRateBase!$F:$F,$D29)</f>
        <v>0</v>
      </c>
      <c r="O29" s="31">
        <f>SUMIFS(LinkFromRateBase!$J:$J,LinkFromRateBase!$E:$E,O$5,LinkFromRateBase!$F:$F,$D29)</f>
        <v>0</v>
      </c>
      <c r="P29" s="31">
        <f>SUMIFS(LinkFromRateBase!$J:$J,LinkFromRateBase!$E:$E,P$5,LinkFromRateBase!$F:$F,$D29)</f>
        <v>0</v>
      </c>
      <c r="Q29" s="31">
        <f>SUMIFS(LinkFromRateBase!$J:$J,LinkFromRateBase!$E:$E,Q$5,LinkFromRateBase!$F:$F,$D29)</f>
        <v>0</v>
      </c>
      <c r="R29" s="31">
        <f>SUMIFS(LinkFromRateBase!$J:$J,LinkFromRateBase!$E:$E,R$5,LinkFromRateBase!$F:$F,$D29)</f>
        <v>0</v>
      </c>
      <c r="S29" s="31">
        <f>SUMIFS(LinkFromRateBase!$J:$J,LinkFromRateBase!$E:$E,S$5,LinkFromRateBase!$F:$F,$D29)</f>
        <v>0</v>
      </c>
      <c r="T29" s="31">
        <f>SUMIFS(LinkFromRateBase!$J:$J,LinkFromRateBase!$E:$E,T$5,LinkFromRateBase!$F:$F,$D29)</f>
        <v>0</v>
      </c>
      <c r="U29" s="31">
        <f>SUMIFS(LinkFromRateBase!$J:$J,LinkFromRateBase!$E:$E,U$5,LinkFromRateBase!$F:$F,$D29)</f>
        <v>0</v>
      </c>
      <c r="V29" s="31"/>
    </row>
    <row r="30" spans="2:22" x14ac:dyDescent="0.25">
      <c r="B30" s="225" t="s">
        <v>7226</v>
      </c>
      <c r="D30" s="2" t="s">
        <v>8005</v>
      </c>
      <c r="F30" s="31">
        <f t="shared" si="3"/>
        <v>0</v>
      </c>
      <c r="H30" s="31">
        <f>SUMIFS(LinkFromRateBase!$J:$J,LinkFromRateBase!$E:$E,H$5,LinkFromRateBase!$F:$F,$D30)</f>
        <v>0</v>
      </c>
      <c r="I30" s="31">
        <f>SUMIFS(LinkFromRateBase!$J:$J,LinkFromRateBase!$E:$E,I$5,LinkFromRateBase!$F:$F,$D30)</f>
        <v>0</v>
      </c>
      <c r="J30" s="31">
        <f>SUMIFS(LinkFromRateBase!$J:$J,LinkFromRateBase!$E:$E,J$5,LinkFromRateBase!$F:$F,$D30)</f>
        <v>0</v>
      </c>
      <c r="K30" s="31">
        <f>SUMIFS(LinkFromRateBase!$J:$J,LinkFromRateBase!$E:$E,K$5,LinkFromRateBase!$F:$F,$D30)</f>
        <v>0</v>
      </c>
      <c r="L30" s="31">
        <f>SUMIFS(LinkFromRateBase!$J:$J,LinkFromRateBase!$E:$E,L$5,LinkFromRateBase!$F:$F,$D30)</f>
        <v>0</v>
      </c>
      <c r="M30" s="31">
        <f>SUMIFS(LinkFromRateBase!$J:$J,LinkFromRateBase!$E:$E,M$5,LinkFromRateBase!$F:$F,$D30)</f>
        <v>0</v>
      </c>
      <c r="N30" s="31">
        <f>SUMIFS(LinkFromRateBase!$J:$J,LinkFromRateBase!$E:$E,N$5,LinkFromRateBase!$F:$F,$D30)</f>
        <v>0</v>
      </c>
      <c r="O30" s="31">
        <f>SUMIFS(LinkFromRateBase!$J:$J,LinkFromRateBase!$E:$E,O$5,LinkFromRateBase!$F:$F,$D30)</f>
        <v>0</v>
      </c>
      <c r="P30" s="31">
        <f>SUMIFS(LinkFromRateBase!$J:$J,LinkFromRateBase!$E:$E,P$5,LinkFromRateBase!$F:$F,$D30)</f>
        <v>0</v>
      </c>
      <c r="Q30" s="31">
        <f>SUMIFS(LinkFromRateBase!$J:$J,LinkFromRateBase!$E:$E,Q$5,LinkFromRateBase!$F:$F,$D30)</f>
        <v>0</v>
      </c>
      <c r="R30" s="31">
        <f>SUMIFS(LinkFromRateBase!$J:$J,LinkFromRateBase!$E:$E,R$5,LinkFromRateBase!$F:$F,$D30)</f>
        <v>0</v>
      </c>
      <c r="S30" s="31">
        <f>SUMIFS(LinkFromRateBase!$J:$J,LinkFromRateBase!$E:$E,S$5,LinkFromRateBase!$F:$F,$D30)</f>
        <v>0</v>
      </c>
      <c r="T30" s="31">
        <f>SUMIFS(LinkFromRateBase!$J:$J,LinkFromRateBase!$E:$E,T$5,LinkFromRateBase!$F:$F,$D30)</f>
        <v>0</v>
      </c>
      <c r="U30" s="31">
        <f>SUMIFS(LinkFromRateBase!$J:$J,LinkFromRateBase!$E:$E,U$5,LinkFromRateBase!$F:$F,$D30)</f>
        <v>0</v>
      </c>
      <c r="V30" s="31"/>
    </row>
    <row r="31" spans="2:22" x14ac:dyDescent="0.25">
      <c r="B31" s="225" t="s">
        <v>7230</v>
      </c>
      <c r="D31" s="2" t="s">
        <v>8007</v>
      </c>
      <c r="F31" s="31">
        <f t="shared" si="3"/>
        <v>15673463.5</v>
      </c>
      <c r="H31" s="31">
        <f>SUMIFS(LinkFromRateBase!$J:$J,LinkFromRateBase!$E:$E,H$5,LinkFromRateBase!$F:$F,$D31)</f>
        <v>0</v>
      </c>
      <c r="I31" s="31">
        <f>SUMIFS(LinkFromRateBase!$J:$J,LinkFromRateBase!$E:$E,I$5,LinkFromRateBase!$F:$F,$D31)</f>
        <v>0</v>
      </c>
      <c r="J31" s="31">
        <f>SUMIFS(LinkFromRateBase!$J:$J,LinkFromRateBase!$E:$E,J$5,LinkFromRateBase!$F:$F,$D31)</f>
        <v>15673463.5</v>
      </c>
      <c r="K31" s="31">
        <f>SUMIFS(LinkFromRateBase!$J:$J,LinkFromRateBase!$E:$E,K$5,LinkFromRateBase!$F:$F,$D31)</f>
        <v>0</v>
      </c>
      <c r="L31" s="31">
        <f>SUMIFS(LinkFromRateBase!$J:$J,LinkFromRateBase!$E:$E,L$5,LinkFromRateBase!$F:$F,$D31)</f>
        <v>0</v>
      </c>
      <c r="M31" s="31">
        <f>SUMIFS(LinkFromRateBase!$J:$J,LinkFromRateBase!$E:$E,M$5,LinkFromRateBase!$F:$F,$D31)</f>
        <v>0</v>
      </c>
      <c r="N31" s="31">
        <f>SUMIFS(LinkFromRateBase!$J:$J,LinkFromRateBase!$E:$E,N$5,LinkFromRateBase!$F:$F,$D31)</f>
        <v>0</v>
      </c>
      <c r="O31" s="31">
        <f>SUMIFS(LinkFromRateBase!$J:$J,LinkFromRateBase!$E:$E,O$5,LinkFromRateBase!$F:$F,$D31)</f>
        <v>0</v>
      </c>
      <c r="P31" s="31">
        <f>SUMIFS(LinkFromRateBase!$J:$J,LinkFromRateBase!$E:$E,P$5,LinkFromRateBase!$F:$F,$D31)</f>
        <v>0</v>
      </c>
      <c r="Q31" s="31">
        <f>SUMIFS(LinkFromRateBase!$J:$J,LinkFromRateBase!$E:$E,Q$5,LinkFromRateBase!$F:$F,$D31)</f>
        <v>0</v>
      </c>
      <c r="R31" s="31">
        <f>SUMIFS(LinkFromRateBase!$J:$J,LinkFromRateBase!$E:$E,R$5,LinkFromRateBase!$F:$F,$D31)</f>
        <v>0</v>
      </c>
      <c r="S31" s="31">
        <f>SUMIFS(LinkFromRateBase!$J:$J,LinkFromRateBase!$E:$E,S$5,LinkFromRateBase!$F:$F,$D31)</f>
        <v>0</v>
      </c>
      <c r="T31" s="31">
        <f>SUMIFS(LinkFromRateBase!$J:$J,LinkFromRateBase!$E:$E,T$5,LinkFromRateBase!$F:$F,$D31)</f>
        <v>0</v>
      </c>
      <c r="U31" s="31">
        <f>SUMIFS(LinkFromRateBase!$J:$J,LinkFromRateBase!$E:$E,U$5,LinkFromRateBase!$F:$F,$D31)</f>
        <v>0</v>
      </c>
      <c r="V31" s="31"/>
    </row>
    <row r="32" spans="2:22" x14ac:dyDescent="0.25">
      <c r="B32" s="225" t="s">
        <v>7230</v>
      </c>
      <c r="D32" s="2" t="s">
        <v>8009</v>
      </c>
      <c r="F32" s="31">
        <f t="shared" si="3"/>
        <v>-117865</v>
      </c>
      <c r="H32" s="31">
        <f>SUMIFS(LinkFromRateBase!$J:$J,LinkFromRateBase!$E:$E,H$5,LinkFromRateBase!$F:$F,$D32)</f>
        <v>0</v>
      </c>
      <c r="I32" s="31">
        <f>SUMIFS(LinkFromRateBase!$J:$J,LinkFromRateBase!$E:$E,I$5,LinkFromRateBase!$F:$F,$D32)</f>
        <v>0</v>
      </c>
      <c r="J32" s="31">
        <f>SUMIFS(LinkFromRateBase!$J:$J,LinkFromRateBase!$E:$E,J$5,LinkFromRateBase!$F:$F,$D32)</f>
        <v>-117865</v>
      </c>
      <c r="K32" s="31">
        <f>SUMIFS(LinkFromRateBase!$J:$J,LinkFromRateBase!$E:$E,K$5,LinkFromRateBase!$F:$F,$D32)</f>
        <v>0</v>
      </c>
      <c r="L32" s="31">
        <f>SUMIFS(LinkFromRateBase!$J:$J,LinkFromRateBase!$E:$E,L$5,LinkFromRateBase!$F:$F,$D32)</f>
        <v>0</v>
      </c>
      <c r="M32" s="31">
        <f>SUMIFS(LinkFromRateBase!$J:$J,LinkFromRateBase!$E:$E,M$5,LinkFromRateBase!$F:$F,$D32)</f>
        <v>0</v>
      </c>
      <c r="N32" s="31">
        <f>SUMIFS(LinkFromRateBase!$J:$J,LinkFromRateBase!$E:$E,N$5,LinkFromRateBase!$F:$F,$D32)</f>
        <v>0</v>
      </c>
      <c r="O32" s="31">
        <f>SUMIFS(LinkFromRateBase!$J:$J,LinkFromRateBase!$E:$E,O$5,LinkFromRateBase!$F:$F,$D32)</f>
        <v>0</v>
      </c>
      <c r="P32" s="31">
        <f>SUMIFS(LinkFromRateBase!$J:$J,LinkFromRateBase!$E:$E,P$5,LinkFromRateBase!$F:$F,$D32)</f>
        <v>0</v>
      </c>
      <c r="Q32" s="31">
        <f>SUMIFS(LinkFromRateBase!$J:$J,LinkFromRateBase!$E:$E,Q$5,LinkFromRateBase!$F:$F,$D32)</f>
        <v>0</v>
      </c>
      <c r="R32" s="31">
        <f>SUMIFS(LinkFromRateBase!$J:$J,LinkFromRateBase!$E:$E,R$5,LinkFromRateBase!$F:$F,$D32)</f>
        <v>0</v>
      </c>
      <c r="S32" s="31">
        <f>SUMIFS(LinkFromRateBase!$J:$J,LinkFromRateBase!$E:$E,S$5,LinkFromRateBase!$F:$F,$D32)</f>
        <v>0</v>
      </c>
      <c r="T32" s="31">
        <f>SUMIFS(LinkFromRateBase!$J:$J,LinkFromRateBase!$E:$E,T$5,LinkFromRateBase!$F:$F,$D32)</f>
        <v>0</v>
      </c>
      <c r="U32" s="31">
        <f>SUMIFS(LinkFromRateBase!$J:$J,LinkFromRateBase!$E:$E,U$5,LinkFromRateBase!$F:$F,$D32)</f>
        <v>0</v>
      </c>
      <c r="V32" s="31"/>
    </row>
    <row r="33" spans="2:22" x14ac:dyDescent="0.25">
      <c r="B33" s="225" t="s">
        <v>7244</v>
      </c>
      <c r="D33" s="2" t="s">
        <v>8011</v>
      </c>
      <c r="F33" s="31">
        <f t="shared" si="3"/>
        <v>34255</v>
      </c>
      <c r="H33" s="31">
        <f>SUMIFS(LinkFromRateBase!$J:$J,LinkFromRateBase!$E:$E,H$5,LinkFromRateBase!$F:$F,$D33)</f>
        <v>0</v>
      </c>
      <c r="I33" s="31">
        <f>SUMIFS(LinkFromRateBase!$J:$J,LinkFromRateBase!$E:$E,I$5,LinkFromRateBase!$F:$F,$D33)</f>
        <v>0</v>
      </c>
      <c r="J33" s="31">
        <f>SUMIFS(LinkFromRateBase!$J:$J,LinkFromRateBase!$E:$E,J$5,LinkFromRateBase!$F:$F,$D33)</f>
        <v>34255</v>
      </c>
      <c r="K33" s="31">
        <f>SUMIFS(LinkFromRateBase!$J:$J,LinkFromRateBase!$E:$E,K$5,LinkFromRateBase!$F:$F,$D33)</f>
        <v>0</v>
      </c>
      <c r="L33" s="31">
        <f>SUMIFS(LinkFromRateBase!$J:$J,LinkFromRateBase!$E:$E,L$5,LinkFromRateBase!$F:$F,$D33)</f>
        <v>0</v>
      </c>
      <c r="M33" s="31">
        <f>SUMIFS(LinkFromRateBase!$J:$J,LinkFromRateBase!$E:$E,M$5,LinkFromRateBase!$F:$F,$D33)</f>
        <v>0</v>
      </c>
      <c r="N33" s="31">
        <f>SUMIFS(LinkFromRateBase!$J:$J,LinkFromRateBase!$E:$E,N$5,LinkFromRateBase!$F:$F,$D33)</f>
        <v>0</v>
      </c>
      <c r="O33" s="31">
        <f>SUMIFS(LinkFromRateBase!$J:$J,LinkFromRateBase!$E:$E,O$5,LinkFromRateBase!$F:$F,$D33)</f>
        <v>0</v>
      </c>
      <c r="P33" s="31">
        <f>SUMIFS(LinkFromRateBase!$J:$J,LinkFromRateBase!$E:$E,P$5,LinkFromRateBase!$F:$F,$D33)</f>
        <v>0</v>
      </c>
      <c r="Q33" s="31">
        <f>SUMIFS(LinkFromRateBase!$J:$J,LinkFromRateBase!$E:$E,Q$5,LinkFromRateBase!$F:$F,$D33)</f>
        <v>0</v>
      </c>
      <c r="R33" s="31">
        <f>SUMIFS(LinkFromRateBase!$J:$J,LinkFromRateBase!$E:$E,R$5,LinkFromRateBase!$F:$F,$D33)</f>
        <v>0</v>
      </c>
      <c r="S33" s="31">
        <f>SUMIFS(LinkFromRateBase!$J:$J,LinkFromRateBase!$E:$E,S$5,LinkFromRateBase!$F:$F,$D33)</f>
        <v>0</v>
      </c>
      <c r="T33" s="31">
        <f>SUMIFS(LinkFromRateBase!$J:$J,LinkFromRateBase!$E:$E,T$5,LinkFromRateBase!$F:$F,$D33)</f>
        <v>0</v>
      </c>
      <c r="U33" s="31">
        <f>SUMIFS(LinkFromRateBase!$J:$J,LinkFromRateBase!$E:$E,U$5,LinkFromRateBase!$F:$F,$D33)</f>
        <v>0</v>
      </c>
      <c r="V33" s="31"/>
    </row>
    <row r="34" spans="2:22" x14ac:dyDescent="0.25">
      <c r="B34" s="14"/>
      <c r="H34" s="31"/>
      <c r="I34" s="31"/>
      <c r="J34" s="31"/>
      <c r="K34" s="31"/>
      <c r="L34" s="62"/>
      <c r="M34" s="62"/>
      <c r="N34" s="62"/>
      <c r="O34" s="62"/>
      <c r="P34" s="31"/>
      <c r="Q34" s="31"/>
      <c r="R34" s="31"/>
      <c r="S34" s="31"/>
      <c r="T34" s="31"/>
      <c r="U34" s="31"/>
      <c r="V34" s="31"/>
    </row>
    <row r="35" spans="2:22" x14ac:dyDescent="0.25">
      <c r="B35" s="14"/>
      <c r="C35" s="1" t="s">
        <v>8128</v>
      </c>
      <c r="H35" s="31"/>
      <c r="I35" s="31"/>
      <c r="J35" s="31"/>
      <c r="K35" s="31"/>
      <c r="L35" s="62"/>
      <c r="M35" s="62"/>
      <c r="N35" s="62"/>
      <c r="O35" s="62"/>
      <c r="P35" s="31"/>
      <c r="Q35" s="31"/>
      <c r="R35" s="31"/>
      <c r="S35" s="31"/>
      <c r="T35" s="31"/>
      <c r="U35" s="31"/>
      <c r="V35" s="31"/>
    </row>
    <row r="36" spans="2:22" x14ac:dyDescent="0.25">
      <c r="B36" s="226" t="s">
        <v>7195</v>
      </c>
      <c r="D36" s="15" t="s">
        <v>8013</v>
      </c>
      <c r="F36" s="31">
        <f t="shared" ref="F36:F41" si="4">SUM(H36:U36)</f>
        <v>549289</v>
      </c>
      <c r="H36" s="31">
        <f>SUMIFS(LinkFromRateBase!$J:$J,LinkFromRateBase!$E:$E,H$5,LinkFromRateBase!$F:$F,$D36)</f>
        <v>0</v>
      </c>
      <c r="I36" s="31">
        <f>SUMIFS(LinkFromRateBase!$J:$J,LinkFromRateBase!$E:$E,I$5,LinkFromRateBase!$F:$F,$D36)</f>
        <v>0</v>
      </c>
      <c r="J36" s="31">
        <f>SUMIFS(LinkFromRateBase!$J:$J,LinkFromRateBase!$E:$E,J$5,LinkFromRateBase!$F:$F,$D36)</f>
        <v>0</v>
      </c>
      <c r="K36" s="31">
        <f>SUMIFS(LinkFromRateBase!$J:$J,LinkFromRateBase!$E:$E,K$5,LinkFromRateBase!$F:$F,$D36)</f>
        <v>0</v>
      </c>
      <c r="L36" s="31">
        <f>SUMIFS(LinkFromRateBase!$J:$J,LinkFromRateBase!$E:$E,L$5,LinkFromRateBase!$F:$F,$D36)</f>
        <v>0</v>
      </c>
      <c r="M36" s="31">
        <f>SUMIFS(LinkFromRateBase!$J:$J,LinkFromRateBase!$E:$E,M$5,LinkFromRateBase!$F:$F,$D36)</f>
        <v>549289</v>
      </c>
      <c r="N36" s="31">
        <f>SUMIFS(LinkFromRateBase!$J:$J,LinkFromRateBase!$E:$E,N$5,LinkFromRateBase!$F:$F,$D36)</f>
        <v>0</v>
      </c>
      <c r="O36" s="31">
        <f>SUMIFS(LinkFromRateBase!$J:$J,LinkFromRateBase!$E:$E,O$5,LinkFromRateBase!$F:$F,$D36)</f>
        <v>0</v>
      </c>
      <c r="P36" s="31">
        <f>SUMIFS(LinkFromRateBase!$J:$J,LinkFromRateBase!$E:$E,P$5,LinkFromRateBase!$F:$F,$D36)</f>
        <v>0</v>
      </c>
      <c r="Q36" s="31">
        <f>SUMIFS(LinkFromRateBase!$J:$J,LinkFromRateBase!$E:$E,Q$5,LinkFromRateBase!$F:$F,$D36)</f>
        <v>0</v>
      </c>
      <c r="R36" s="31">
        <f>SUMIFS(LinkFromRateBase!$J:$J,LinkFromRateBase!$E:$E,R$5,LinkFromRateBase!$F:$F,$D36)</f>
        <v>0</v>
      </c>
      <c r="S36" s="31">
        <f>SUMIFS(LinkFromRateBase!$J:$J,LinkFromRateBase!$E:$E,S$5,LinkFromRateBase!$F:$F,$D36)</f>
        <v>0</v>
      </c>
      <c r="T36" s="31">
        <f>SUMIFS(LinkFromRateBase!$J:$J,LinkFromRateBase!$E:$E,T$5,LinkFromRateBase!$F:$F,$D36)</f>
        <v>0</v>
      </c>
      <c r="U36" s="31">
        <f>SUMIFS(LinkFromRateBase!$J:$J,LinkFromRateBase!$E:$E,U$5,LinkFromRateBase!$F:$F,$D36)</f>
        <v>0</v>
      </c>
      <c r="V36" s="31"/>
    </row>
    <row r="37" spans="2:22" x14ac:dyDescent="0.25">
      <c r="B37" s="225" t="s">
        <v>7204</v>
      </c>
      <c r="D37" s="2" t="s">
        <v>8015</v>
      </c>
      <c r="F37" s="31">
        <f t="shared" si="4"/>
        <v>283117</v>
      </c>
      <c r="H37" s="31">
        <f>SUMIFS(LinkFromRateBase!$J:$J,LinkFromRateBase!$E:$E,H$5,LinkFromRateBase!$F:$F,$D37)</f>
        <v>0</v>
      </c>
      <c r="I37" s="31">
        <f>SUMIFS(LinkFromRateBase!$J:$J,LinkFromRateBase!$E:$E,I$5,LinkFromRateBase!$F:$F,$D37)</f>
        <v>0</v>
      </c>
      <c r="J37" s="31">
        <f>SUMIFS(LinkFromRateBase!$J:$J,LinkFromRateBase!$E:$E,J$5,LinkFromRateBase!$F:$F,$D37)</f>
        <v>0</v>
      </c>
      <c r="K37" s="31">
        <f>SUMIFS(LinkFromRateBase!$J:$J,LinkFromRateBase!$E:$E,K$5,LinkFromRateBase!$F:$F,$D37)</f>
        <v>0</v>
      </c>
      <c r="L37" s="31">
        <f>SUMIFS(LinkFromRateBase!$J:$J,LinkFromRateBase!$E:$E,L$5,LinkFromRateBase!$F:$F,$D37)</f>
        <v>0</v>
      </c>
      <c r="M37" s="31">
        <f>SUMIFS(LinkFromRateBase!$J:$J,LinkFromRateBase!$E:$E,M$5,LinkFromRateBase!$F:$F,$D37)</f>
        <v>283117</v>
      </c>
      <c r="N37" s="31">
        <f>SUMIFS(LinkFromRateBase!$J:$J,LinkFromRateBase!$E:$E,N$5,LinkFromRateBase!$F:$F,$D37)</f>
        <v>0</v>
      </c>
      <c r="O37" s="31">
        <f>SUMIFS(LinkFromRateBase!$J:$J,LinkFromRateBase!$E:$E,O$5,LinkFromRateBase!$F:$F,$D37)</f>
        <v>0</v>
      </c>
      <c r="P37" s="31">
        <f>SUMIFS(LinkFromRateBase!$J:$J,LinkFromRateBase!$E:$E,P$5,LinkFromRateBase!$F:$F,$D37)</f>
        <v>0</v>
      </c>
      <c r="Q37" s="31">
        <f>SUMIFS(LinkFromRateBase!$J:$J,LinkFromRateBase!$E:$E,Q$5,LinkFromRateBase!$F:$F,$D37)</f>
        <v>0</v>
      </c>
      <c r="R37" s="31">
        <f>SUMIFS(LinkFromRateBase!$J:$J,LinkFromRateBase!$E:$E,R$5,LinkFromRateBase!$F:$F,$D37)</f>
        <v>0</v>
      </c>
      <c r="S37" s="31">
        <f>SUMIFS(LinkFromRateBase!$J:$J,LinkFromRateBase!$E:$E,S$5,LinkFromRateBase!$F:$F,$D37)</f>
        <v>0</v>
      </c>
      <c r="T37" s="31">
        <f>SUMIFS(LinkFromRateBase!$J:$J,LinkFromRateBase!$E:$E,T$5,LinkFromRateBase!$F:$F,$D37)</f>
        <v>0</v>
      </c>
      <c r="U37" s="31">
        <f>SUMIFS(LinkFromRateBase!$J:$J,LinkFromRateBase!$E:$E,U$5,LinkFromRateBase!$F:$F,$D37)</f>
        <v>0</v>
      </c>
      <c r="V37" s="31"/>
    </row>
    <row r="38" spans="2:22" x14ac:dyDescent="0.25">
      <c r="B38" s="225" t="s">
        <v>7234</v>
      </c>
      <c r="D38" s="2" t="s">
        <v>8025</v>
      </c>
      <c r="F38" s="31">
        <f t="shared" si="4"/>
        <v>2969355</v>
      </c>
      <c r="H38" s="31">
        <f>SUMIFS(LinkFromRateBase!$J:$J,LinkFromRateBase!$E:$E,H$5,LinkFromRateBase!$F:$F,$D38)</f>
        <v>0</v>
      </c>
      <c r="I38" s="31">
        <f>SUMIFS(LinkFromRateBase!$J:$J,LinkFromRateBase!$E:$E,I$5,LinkFromRateBase!$F:$F,$D38)</f>
        <v>0</v>
      </c>
      <c r="J38" s="31">
        <f>SUMIFS(LinkFromRateBase!$J:$J,LinkFromRateBase!$E:$E,J$5,LinkFromRateBase!$F:$F,$D38)</f>
        <v>0</v>
      </c>
      <c r="K38" s="31">
        <f>SUMIFS(LinkFromRateBase!$J:$J,LinkFromRateBase!$E:$E,K$5,LinkFromRateBase!$F:$F,$D38)</f>
        <v>0</v>
      </c>
      <c r="L38" s="31">
        <f>SUMIFS(LinkFromRateBase!$J:$J,LinkFromRateBase!$E:$E,L$5,LinkFromRateBase!$F:$F,$D38)</f>
        <v>0</v>
      </c>
      <c r="M38" s="31">
        <f>SUMIFS(LinkFromRateBase!$J:$J,LinkFromRateBase!$E:$E,M$5,LinkFromRateBase!$F:$F,$D38)</f>
        <v>0</v>
      </c>
      <c r="N38" s="31">
        <f>SUMIFS(LinkFromRateBase!$J:$J,LinkFromRateBase!$E:$E,N$5,LinkFromRateBase!$F:$F,$D38)</f>
        <v>0</v>
      </c>
      <c r="O38" s="31">
        <f>SUMIFS(LinkFromRateBase!$J:$J,LinkFromRateBase!$E:$E,O$5,LinkFromRateBase!$F:$F,$D38)</f>
        <v>2969355</v>
      </c>
      <c r="P38" s="31">
        <f>SUMIFS(LinkFromRateBase!$J:$J,LinkFromRateBase!$E:$E,P$5,LinkFromRateBase!$F:$F,$D38)</f>
        <v>0</v>
      </c>
      <c r="Q38" s="31">
        <f>SUMIFS(LinkFromRateBase!$J:$J,LinkFromRateBase!$E:$E,Q$5,LinkFromRateBase!$F:$F,$D38)</f>
        <v>0</v>
      </c>
      <c r="R38" s="31">
        <f>SUMIFS(LinkFromRateBase!$J:$J,LinkFromRateBase!$E:$E,R$5,LinkFromRateBase!$F:$F,$D38)</f>
        <v>0</v>
      </c>
      <c r="S38" s="31">
        <f>SUMIFS(LinkFromRateBase!$J:$J,LinkFromRateBase!$E:$E,S$5,LinkFromRateBase!$F:$F,$D38)</f>
        <v>0</v>
      </c>
      <c r="T38" s="31">
        <f>SUMIFS(LinkFromRateBase!$J:$J,LinkFromRateBase!$E:$E,T$5,LinkFromRateBase!$F:$F,$D38)</f>
        <v>0</v>
      </c>
      <c r="U38" s="31">
        <f>SUMIFS(LinkFromRateBase!$J:$J,LinkFromRateBase!$E:$E,U$5,LinkFromRateBase!$F:$F,$D38)</f>
        <v>0</v>
      </c>
      <c r="V38" s="31"/>
    </row>
    <row r="39" spans="2:22" x14ac:dyDescent="0.25">
      <c r="B39" s="225" t="s">
        <v>7234</v>
      </c>
      <c r="D39" s="2" t="s">
        <v>8027</v>
      </c>
      <c r="F39" s="31">
        <f t="shared" si="4"/>
        <v>67192963</v>
      </c>
      <c r="H39" s="31">
        <f>SUMIFS(LinkFromRateBase!$J:$J,LinkFromRateBase!$E:$E,H$5,LinkFromRateBase!$F:$F,$D39)</f>
        <v>0</v>
      </c>
      <c r="I39" s="31">
        <f>SUMIFS(LinkFromRateBase!$J:$J,LinkFromRateBase!$E:$E,I$5,LinkFromRateBase!$F:$F,$D39)</f>
        <v>0</v>
      </c>
      <c r="J39" s="31">
        <f>SUMIFS(LinkFromRateBase!$J:$J,LinkFromRateBase!$E:$E,J$5,LinkFromRateBase!$F:$F,$D39)</f>
        <v>0</v>
      </c>
      <c r="K39" s="31">
        <f>SUMIFS(LinkFromRateBase!$J:$J,LinkFromRateBase!$E:$E,K$5,LinkFromRateBase!$F:$F,$D39)</f>
        <v>0</v>
      </c>
      <c r="L39" s="31">
        <f>SUMIFS(LinkFromRateBase!$J:$J,LinkFromRateBase!$E:$E,L$5,LinkFromRateBase!$F:$F,$D39)</f>
        <v>0</v>
      </c>
      <c r="M39" s="31">
        <f>SUMIFS(LinkFromRateBase!$J:$J,LinkFromRateBase!$E:$E,M$5,LinkFromRateBase!$F:$F,$D39)</f>
        <v>0</v>
      </c>
      <c r="N39" s="31">
        <f>SUMIFS(LinkFromRateBase!$J:$J,LinkFromRateBase!$E:$E,N$5,LinkFromRateBase!$F:$F,$D39)</f>
        <v>0</v>
      </c>
      <c r="O39" s="31">
        <f>SUMIFS(LinkFromRateBase!$J:$J,LinkFromRateBase!$E:$E,O$5,LinkFromRateBase!$F:$F,$D39)</f>
        <v>67192963</v>
      </c>
      <c r="P39" s="31">
        <f>SUMIFS(LinkFromRateBase!$J:$J,LinkFromRateBase!$E:$E,P$5,LinkFromRateBase!$F:$F,$D39)</f>
        <v>0</v>
      </c>
      <c r="Q39" s="31">
        <f>SUMIFS(LinkFromRateBase!$J:$J,LinkFromRateBase!$E:$E,Q$5,LinkFromRateBase!$F:$F,$D39)</f>
        <v>0</v>
      </c>
      <c r="R39" s="31">
        <f>SUMIFS(LinkFromRateBase!$J:$J,LinkFromRateBase!$E:$E,R$5,LinkFromRateBase!$F:$F,$D39)</f>
        <v>0</v>
      </c>
      <c r="S39" s="31">
        <f>SUMIFS(LinkFromRateBase!$J:$J,LinkFromRateBase!$E:$E,S$5,LinkFromRateBase!$F:$F,$D39)</f>
        <v>0</v>
      </c>
      <c r="T39" s="31">
        <f>SUMIFS(LinkFromRateBase!$J:$J,LinkFromRateBase!$E:$E,T$5,LinkFromRateBase!$F:$F,$D39)</f>
        <v>0</v>
      </c>
      <c r="U39" s="31">
        <f>SUMIFS(LinkFromRateBase!$J:$J,LinkFromRateBase!$E:$E,U$5,LinkFromRateBase!$F:$F,$D39)</f>
        <v>0</v>
      </c>
      <c r="V39" s="31"/>
    </row>
    <row r="40" spans="2:22" x14ac:dyDescent="0.25">
      <c r="B40" s="225" t="s">
        <v>7234</v>
      </c>
      <c r="D40" s="2" t="s">
        <v>8029</v>
      </c>
      <c r="F40" s="31">
        <f t="shared" si="4"/>
        <v>38678455.5</v>
      </c>
      <c r="H40" s="31">
        <f>SUMIFS(LinkFromRateBase!$J:$J,LinkFromRateBase!$E:$E,H$5,LinkFromRateBase!$F:$F,$D40)</f>
        <v>0</v>
      </c>
      <c r="I40" s="31">
        <f>SUMIFS(LinkFromRateBase!$J:$J,LinkFromRateBase!$E:$E,I$5,LinkFromRateBase!$F:$F,$D40)</f>
        <v>0</v>
      </c>
      <c r="J40" s="31">
        <f>SUMIFS(LinkFromRateBase!$J:$J,LinkFromRateBase!$E:$E,J$5,LinkFromRateBase!$F:$F,$D40)</f>
        <v>0</v>
      </c>
      <c r="K40" s="31">
        <f>SUMIFS(LinkFromRateBase!$J:$J,LinkFromRateBase!$E:$E,K$5,LinkFromRateBase!$F:$F,$D40)</f>
        <v>0</v>
      </c>
      <c r="L40" s="31">
        <f>SUMIFS(LinkFromRateBase!$J:$J,LinkFromRateBase!$E:$E,L$5,LinkFromRateBase!$F:$F,$D40)</f>
        <v>0</v>
      </c>
      <c r="M40" s="31">
        <f>SUMIFS(LinkFromRateBase!$J:$J,LinkFromRateBase!$E:$E,M$5,LinkFromRateBase!$F:$F,$D40)</f>
        <v>0</v>
      </c>
      <c r="N40" s="31">
        <f>SUMIFS(LinkFromRateBase!$J:$J,LinkFromRateBase!$E:$E,N$5,LinkFromRateBase!$F:$F,$D40)</f>
        <v>38678455.5</v>
      </c>
      <c r="O40" s="31">
        <f>SUMIFS(LinkFromRateBase!$J:$J,LinkFromRateBase!$E:$E,O$5,LinkFromRateBase!$F:$F,$D40)</f>
        <v>0</v>
      </c>
      <c r="P40" s="31">
        <f>SUMIFS(LinkFromRateBase!$J:$J,LinkFromRateBase!$E:$E,P$5,LinkFromRateBase!$F:$F,$D40)</f>
        <v>0</v>
      </c>
      <c r="Q40" s="31">
        <f>SUMIFS(LinkFromRateBase!$J:$J,LinkFromRateBase!$E:$E,Q$5,LinkFromRateBase!$F:$F,$D40)</f>
        <v>0</v>
      </c>
      <c r="R40" s="31">
        <f>SUMIFS(LinkFromRateBase!$J:$J,LinkFromRateBase!$E:$E,R$5,LinkFromRateBase!$F:$F,$D40)</f>
        <v>0</v>
      </c>
      <c r="S40" s="31">
        <f>SUMIFS(LinkFromRateBase!$J:$J,LinkFromRateBase!$E:$E,S$5,LinkFromRateBase!$F:$F,$D40)</f>
        <v>0</v>
      </c>
      <c r="T40" s="31">
        <f>SUMIFS(LinkFromRateBase!$J:$J,LinkFromRateBase!$E:$E,T$5,LinkFromRateBase!$F:$F,$D40)</f>
        <v>0</v>
      </c>
      <c r="U40" s="31">
        <f>SUMIFS(LinkFromRateBase!$J:$J,LinkFromRateBase!$E:$E,U$5,LinkFromRateBase!$F:$F,$D40)</f>
        <v>0</v>
      </c>
      <c r="V40" s="31"/>
    </row>
    <row r="41" spans="2:22" x14ac:dyDescent="0.25">
      <c r="B41" s="225" t="s">
        <v>7234</v>
      </c>
      <c r="D41" s="2" t="s">
        <v>8031</v>
      </c>
      <c r="F41" s="31">
        <f t="shared" si="4"/>
        <v>701766</v>
      </c>
      <c r="H41" s="31">
        <f>SUMIFS(LinkFromRateBase!$J:$J,LinkFromRateBase!$E:$E,H$5,LinkFromRateBase!$F:$F,$D41)</f>
        <v>0</v>
      </c>
      <c r="I41" s="31">
        <f>SUMIFS(LinkFromRateBase!$J:$J,LinkFromRateBase!$E:$E,I$5,LinkFromRateBase!$F:$F,$D41)</f>
        <v>0</v>
      </c>
      <c r="J41" s="31">
        <f>SUMIFS(LinkFromRateBase!$J:$J,LinkFromRateBase!$E:$E,J$5,LinkFromRateBase!$F:$F,$D41)</f>
        <v>0</v>
      </c>
      <c r="K41" s="31">
        <f>SUMIFS(LinkFromRateBase!$J:$J,LinkFromRateBase!$E:$E,K$5,LinkFromRateBase!$F:$F,$D41)</f>
        <v>0</v>
      </c>
      <c r="L41" s="31">
        <f>SUMIFS(LinkFromRateBase!$J:$J,LinkFromRateBase!$E:$E,L$5,LinkFromRateBase!$F:$F,$D41)</f>
        <v>0</v>
      </c>
      <c r="M41" s="31">
        <f>SUMIFS(LinkFromRateBase!$J:$J,LinkFromRateBase!$E:$E,M$5,LinkFromRateBase!$F:$F,$D41)</f>
        <v>0</v>
      </c>
      <c r="N41" s="31">
        <f>SUMIFS(LinkFromRateBase!$J:$J,LinkFromRateBase!$E:$E,N$5,LinkFromRateBase!$F:$F,$D41)</f>
        <v>701766</v>
      </c>
      <c r="O41" s="31">
        <f>SUMIFS(LinkFromRateBase!$J:$J,LinkFromRateBase!$E:$E,O$5,LinkFromRateBase!$F:$F,$D41)</f>
        <v>0</v>
      </c>
      <c r="P41" s="31">
        <f>SUMIFS(LinkFromRateBase!$J:$J,LinkFromRateBase!$E:$E,P$5,LinkFromRateBase!$F:$F,$D41)</f>
        <v>0</v>
      </c>
      <c r="Q41" s="31">
        <f>SUMIFS(LinkFromRateBase!$J:$J,LinkFromRateBase!$E:$E,Q$5,LinkFromRateBase!$F:$F,$D41)</f>
        <v>0</v>
      </c>
      <c r="R41" s="31">
        <f>SUMIFS(LinkFromRateBase!$J:$J,LinkFromRateBase!$E:$E,R$5,LinkFromRateBase!$F:$F,$D41)</f>
        <v>0</v>
      </c>
      <c r="S41" s="31">
        <f>SUMIFS(LinkFromRateBase!$J:$J,LinkFromRateBase!$E:$E,S$5,LinkFromRateBase!$F:$F,$D41)</f>
        <v>0</v>
      </c>
      <c r="T41" s="31">
        <f>SUMIFS(LinkFromRateBase!$J:$J,LinkFromRateBase!$E:$E,T$5,LinkFromRateBase!$F:$F,$D41)</f>
        <v>0</v>
      </c>
      <c r="U41" s="31">
        <f>SUMIFS(LinkFromRateBase!$J:$J,LinkFromRateBase!$E:$E,U$5,LinkFromRateBase!$F:$F,$D41)</f>
        <v>0</v>
      </c>
      <c r="V41" s="31"/>
    </row>
    <row r="42" spans="2:22" x14ac:dyDescent="0.25">
      <c r="B42" s="225" t="s">
        <v>7246</v>
      </c>
      <c r="D42" s="57" t="s">
        <v>8047</v>
      </c>
      <c r="E42" s="57"/>
      <c r="F42" s="62">
        <f>SUM(H42:U42)</f>
        <v>247887</v>
      </c>
      <c r="G42" s="57"/>
      <c r="H42" s="31">
        <f>SUMIFS(LinkFromRateBase!$J:$J,LinkFromRateBase!$E:$E,H$5,LinkFromRateBase!$F:$F,$D42)</f>
        <v>0</v>
      </c>
      <c r="I42" s="31">
        <f>SUMIFS(LinkFromRateBase!$J:$J,LinkFromRateBase!$E:$E,I$5,LinkFromRateBase!$F:$F,$D42)</f>
        <v>0</v>
      </c>
      <c r="J42" s="31">
        <f>SUMIFS(LinkFromRateBase!$J:$J,LinkFromRateBase!$E:$E,J$5,LinkFromRateBase!$F:$F,$D42)</f>
        <v>0</v>
      </c>
      <c r="K42" s="31">
        <f>SUMIFS(LinkFromRateBase!$J:$J,LinkFromRateBase!$E:$E,K$5,LinkFromRateBase!$F:$F,$D42)</f>
        <v>0</v>
      </c>
      <c r="L42" s="31">
        <f>SUMIFS(LinkFromRateBase!$J:$J,LinkFromRateBase!$E:$E,L$5,LinkFromRateBase!$F:$F,$D42)</f>
        <v>0</v>
      </c>
      <c r="M42" s="31">
        <f>SUMIFS(LinkFromRateBase!$J:$J,LinkFromRateBase!$E:$E,M$5,LinkFromRateBase!$F:$F,$D42)</f>
        <v>247887</v>
      </c>
      <c r="N42" s="31">
        <f>SUMIFS(LinkFromRateBase!$J:$J,LinkFromRateBase!$E:$E,N$5,LinkFromRateBase!$F:$F,$D42)</f>
        <v>0</v>
      </c>
      <c r="O42" s="31">
        <f>SUMIFS(LinkFromRateBase!$J:$J,LinkFromRateBase!$E:$E,O$5,LinkFromRateBase!$F:$F,$D42)</f>
        <v>0</v>
      </c>
      <c r="P42" s="31">
        <f>SUMIFS(LinkFromRateBase!$J:$J,LinkFromRateBase!$E:$E,P$5,LinkFromRateBase!$F:$F,$D42)</f>
        <v>0</v>
      </c>
      <c r="Q42" s="31">
        <f>SUMIFS(LinkFromRateBase!$J:$J,LinkFromRateBase!$E:$E,Q$5,LinkFromRateBase!$F:$F,$D42)</f>
        <v>0</v>
      </c>
      <c r="R42" s="31">
        <f>SUMIFS(LinkFromRateBase!$J:$J,LinkFromRateBase!$E:$E,R$5,LinkFromRateBase!$F:$F,$D42)</f>
        <v>0</v>
      </c>
      <c r="S42" s="31">
        <f>SUMIFS(LinkFromRateBase!$J:$J,LinkFromRateBase!$E:$E,S$5,LinkFromRateBase!$F:$F,$D42)</f>
        <v>0</v>
      </c>
      <c r="T42" s="31">
        <f>SUMIFS(LinkFromRateBase!$J:$J,LinkFromRateBase!$E:$E,T$5,LinkFromRateBase!$F:$F,$D42)</f>
        <v>0</v>
      </c>
      <c r="U42" s="31">
        <f>SUMIFS(LinkFromRateBase!$J:$J,LinkFromRateBase!$E:$E,U$5,LinkFromRateBase!$F:$F,$D42)</f>
        <v>0</v>
      </c>
      <c r="V42" s="31"/>
    </row>
    <row r="43" spans="2:22" x14ac:dyDescent="0.25">
      <c r="B43" s="14"/>
      <c r="H43" s="31"/>
      <c r="I43" s="31"/>
      <c r="J43" s="31"/>
      <c r="K43" s="31"/>
      <c r="L43" s="62"/>
      <c r="M43" s="62"/>
      <c r="N43" s="62"/>
      <c r="O43" s="62"/>
      <c r="P43" s="31"/>
      <c r="Q43" s="31"/>
      <c r="R43" s="31"/>
      <c r="S43" s="31"/>
      <c r="T43" s="31"/>
      <c r="U43" s="31"/>
      <c r="V43" s="31"/>
    </row>
    <row r="44" spans="2:22" x14ac:dyDescent="0.25">
      <c r="B44" s="14"/>
      <c r="C44" s="1" t="s">
        <v>6960</v>
      </c>
      <c r="H44" s="31"/>
      <c r="I44" s="31"/>
      <c r="J44" s="31"/>
      <c r="K44" s="31"/>
      <c r="L44" s="62"/>
      <c r="M44" s="62"/>
      <c r="N44" s="62"/>
      <c r="O44" s="62"/>
      <c r="P44" s="31"/>
      <c r="Q44" s="31"/>
      <c r="R44" s="31"/>
      <c r="S44" s="31"/>
      <c r="T44" s="31"/>
      <c r="U44" s="31"/>
      <c r="V44" s="31"/>
    </row>
    <row r="45" spans="2:22" x14ac:dyDescent="0.25">
      <c r="B45" s="225" t="s">
        <v>7232</v>
      </c>
      <c r="D45" s="2" t="s">
        <v>8017</v>
      </c>
      <c r="F45" s="31">
        <f t="shared" ref="F45:F48" si="5">SUM(H45:U45)</f>
        <v>4065048.5</v>
      </c>
      <c r="H45" s="31">
        <f>SUMIFS(LinkFromRateBase!$J:$J,LinkFromRateBase!$E:$E,H$5,LinkFromRateBase!$F:$F,$D45)</f>
        <v>0</v>
      </c>
      <c r="I45" s="31">
        <f>SUMIFS(LinkFromRateBase!$J:$J,LinkFromRateBase!$E:$E,I$5,LinkFromRateBase!$F:$F,$D45)</f>
        <v>0</v>
      </c>
      <c r="J45" s="31">
        <f>SUMIFS(LinkFromRateBase!$J:$J,LinkFromRateBase!$E:$E,J$5,LinkFromRateBase!$F:$F,$D45)</f>
        <v>0</v>
      </c>
      <c r="K45" s="31">
        <f>SUMIFS(LinkFromRateBase!$J:$J,LinkFromRateBase!$E:$E,K$5,LinkFromRateBase!$F:$F,$D45)</f>
        <v>0</v>
      </c>
      <c r="L45" s="31">
        <f>SUMIFS(LinkFromRateBase!$J:$J,LinkFromRateBase!$E:$E,L$5,LinkFromRateBase!$F:$F,$D45)</f>
        <v>0</v>
      </c>
      <c r="M45" s="31">
        <f>SUMIFS(LinkFromRateBase!$J:$J,LinkFromRateBase!$E:$E,M$5,LinkFromRateBase!$F:$F,$D45)</f>
        <v>0</v>
      </c>
      <c r="N45" s="31">
        <f>SUMIFS(LinkFromRateBase!$J:$J,LinkFromRateBase!$E:$E,N$5,LinkFromRateBase!$F:$F,$D45)</f>
        <v>0</v>
      </c>
      <c r="O45" s="31">
        <f>SUMIFS(LinkFromRateBase!$J:$J,LinkFromRateBase!$E:$E,O$5,LinkFromRateBase!$F:$F,$D45)</f>
        <v>0</v>
      </c>
      <c r="P45" s="31">
        <f>SUMIFS(LinkFromRateBase!$J:$J,LinkFromRateBase!$E:$E,P$5,LinkFromRateBase!$F:$F,$D45)</f>
        <v>4065048.5</v>
      </c>
      <c r="Q45" s="31">
        <f>SUMIFS(LinkFromRateBase!$J:$J,LinkFromRateBase!$E:$E,Q$5,LinkFromRateBase!$F:$F,$D45)</f>
        <v>0</v>
      </c>
      <c r="R45" s="31">
        <f>SUMIFS(LinkFromRateBase!$J:$J,LinkFromRateBase!$E:$E,R$5,LinkFromRateBase!$F:$F,$D45)</f>
        <v>0</v>
      </c>
      <c r="S45" s="31">
        <f>SUMIFS(LinkFromRateBase!$J:$J,LinkFromRateBase!$E:$E,S$5,LinkFromRateBase!$F:$F,$D45)</f>
        <v>0</v>
      </c>
      <c r="T45" s="31">
        <f>SUMIFS(LinkFromRateBase!$J:$J,LinkFromRateBase!$E:$E,T$5,LinkFromRateBase!$F:$F,$D45)</f>
        <v>0</v>
      </c>
      <c r="U45" s="31">
        <f>SUMIFS(LinkFromRateBase!$J:$J,LinkFromRateBase!$E:$E,U$5,LinkFromRateBase!$F:$F,$D45)</f>
        <v>0</v>
      </c>
      <c r="V45" s="31"/>
    </row>
    <row r="46" spans="2:22" x14ac:dyDescent="0.25">
      <c r="B46" s="225" t="s">
        <v>7232</v>
      </c>
      <c r="D46" s="2" t="s">
        <v>8019</v>
      </c>
      <c r="F46" s="31">
        <f t="shared" si="5"/>
        <v>2231331.5</v>
      </c>
      <c r="H46" s="31">
        <f>SUMIFS(LinkFromRateBase!$J:$J,LinkFromRateBase!$E:$E,H$5,LinkFromRateBase!$F:$F,$D46)</f>
        <v>0</v>
      </c>
      <c r="I46" s="31">
        <f>SUMIFS(LinkFromRateBase!$J:$J,LinkFromRateBase!$E:$E,I$5,LinkFromRateBase!$F:$F,$D46)</f>
        <v>0</v>
      </c>
      <c r="J46" s="31">
        <f>SUMIFS(LinkFromRateBase!$J:$J,LinkFromRateBase!$E:$E,J$5,LinkFromRateBase!$F:$F,$D46)</f>
        <v>0</v>
      </c>
      <c r="K46" s="31">
        <f>SUMIFS(LinkFromRateBase!$J:$J,LinkFromRateBase!$E:$E,K$5,LinkFromRateBase!$F:$F,$D46)</f>
        <v>0</v>
      </c>
      <c r="L46" s="31">
        <f>SUMIFS(LinkFromRateBase!$J:$J,LinkFromRateBase!$E:$E,L$5,LinkFromRateBase!$F:$F,$D46)</f>
        <v>0</v>
      </c>
      <c r="M46" s="31">
        <f>SUMIFS(LinkFromRateBase!$J:$J,LinkFromRateBase!$E:$E,M$5,LinkFromRateBase!$F:$F,$D46)</f>
        <v>0</v>
      </c>
      <c r="N46" s="31">
        <f>SUMIFS(LinkFromRateBase!$J:$J,LinkFromRateBase!$E:$E,N$5,LinkFromRateBase!$F:$F,$D46)</f>
        <v>0</v>
      </c>
      <c r="O46" s="31">
        <f>SUMIFS(LinkFromRateBase!$J:$J,LinkFromRateBase!$E:$E,O$5,LinkFromRateBase!$F:$F,$D46)</f>
        <v>0</v>
      </c>
      <c r="P46" s="31">
        <f>SUMIFS(LinkFromRateBase!$J:$J,LinkFromRateBase!$E:$E,P$5,LinkFromRateBase!$F:$F,$D46)</f>
        <v>2231331.5</v>
      </c>
      <c r="Q46" s="31">
        <f>SUMIFS(LinkFromRateBase!$J:$J,LinkFromRateBase!$E:$E,Q$5,LinkFromRateBase!$F:$F,$D46)</f>
        <v>0</v>
      </c>
      <c r="R46" s="31">
        <f>SUMIFS(LinkFromRateBase!$J:$J,LinkFromRateBase!$E:$E,R$5,LinkFromRateBase!$F:$F,$D46)</f>
        <v>0</v>
      </c>
      <c r="S46" s="31">
        <f>SUMIFS(LinkFromRateBase!$J:$J,LinkFromRateBase!$E:$E,S$5,LinkFromRateBase!$F:$F,$D46)</f>
        <v>0</v>
      </c>
      <c r="T46" s="31">
        <f>SUMIFS(LinkFromRateBase!$J:$J,LinkFromRateBase!$E:$E,T$5,LinkFromRateBase!$F:$F,$D46)</f>
        <v>0</v>
      </c>
      <c r="U46" s="31">
        <f>SUMIFS(LinkFromRateBase!$J:$J,LinkFromRateBase!$E:$E,U$5,LinkFromRateBase!$F:$F,$D46)</f>
        <v>0</v>
      </c>
      <c r="V46" s="31"/>
    </row>
    <row r="47" spans="2:22" x14ac:dyDescent="0.25">
      <c r="B47" s="225" t="s">
        <v>7232</v>
      </c>
      <c r="D47" s="2" t="s">
        <v>8021</v>
      </c>
      <c r="F47" s="31">
        <f t="shared" si="5"/>
        <v>0</v>
      </c>
      <c r="H47" s="31">
        <f>SUMIFS(LinkFromRateBase!$J:$J,LinkFromRateBase!$E:$E,H$5,LinkFromRateBase!$F:$F,$D47)</f>
        <v>0</v>
      </c>
      <c r="I47" s="31">
        <f>SUMIFS(LinkFromRateBase!$J:$J,LinkFromRateBase!$E:$E,I$5,LinkFromRateBase!$F:$F,$D47)</f>
        <v>0</v>
      </c>
      <c r="J47" s="31">
        <f>SUMIFS(LinkFromRateBase!$J:$J,LinkFromRateBase!$E:$E,J$5,LinkFromRateBase!$F:$F,$D47)</f>
        <v>0</v>
      </c>
      <c r="K47" s="31">
        <f>SUMIFS(LinkFromRateBase!$J:$J,LinkFromRateBase!$E:$E,K$5,LinkFromRateBase!$F:$F,$D47)</f>
        <v>0</v>
      </c>
      <c r="L47" s="31">
        <f>SUMIFS(LinkFromRateBase!$J:$J,LinkFromRateBase!$E:$E,L$5,LinkFromRateBase!$F:$F,$D47)</f>
        <v>0</v>
      </c>
      <c r="M47" s="31">
        <f>SUMIFS(LinkFromRateBase!$J:$J,LinkFromRateBase!$E:$E,M$5,LinkFromRateBase!$F:$F,$D47)</f>
        <v>0</v>
      </c>
      <c r="N47" s="31">
        <f>SUMIFS(LinkFromRateBase!$J:$J,LinkFromRateBase!$E:$E,N$5,LinkFromRateBase!$F:$F,$D47)</f>
        <v>0</v>
      </c>
      <c r="O47" s="31">
        <f>SUMIFS(LinkFromRateBase!$J:$J,LinkFromRateBase!$E:$E,O$5,LinkFromRateBase!$F:$F,$D47)</f>
        <v>0</v>
      </c>
      <c r="P47" s="31">
        <f>SUMIFS(LinkFromRateBase!$J:$J,LinkFromRateBase!$E:$E,P$5,LinkFromRateBase!$F:$F,$D47)</f>
        <v>0</v>
      </c>
      <c r="Q47" s="31">
        <f>SUMIFS(LinkFromRateBase!$J:$J,LinkFromRateBase!$E:$E,Q$5,LinkFromRateBase!$F:$F,$D47)</f>
        <v>0</v>
      </c>
      <c r="R47" s="31">
        <f>SUMIFS(LinkFromRateBase!$J:$J,LinkFromRateBase!$E:$E,R$5,LinkFromRateBase!$F:$F,$D47)</f>
        <v>0</v>
      </c>
      <c r="S47" s="31">
        <f>SUMIFS(LinkFromRateBase!$J:$J,LinkFromRateBase!$E:$E,S$5,LinkFromRateBase!$F:$F,$D47)</f>
        <v>0</v>
      </c>
      <c r="T47" s="31">
        <f>SUMIFS(LinkFromRateBase!$J:$J,LinkFromRateBase!$E:$E,T$5,LinkFromRateBase!$F:$F,$D47)</f>
        <v>0</v>
      </c>
      <c r="U47" s="31">
        <f>SUMIFS(LinkFromRateBase!$J:$J,LinkFromRateBase!$E:$E,U$5,LinkFromRateBase!$F:$F,$D47)</f>
        <v>0</v>
      </c>
      <c r="V47" s="31"/>
    </row>
    <row r="48" spans="2:22" x14ac:dyDescent="0.25">
      <c r="B48" s="225" t="s">
        <v>7232</v>
      </c>
      <c r="D48" s="2" t="s">
        <v>8023</v>
      </c>
      <c r="F48" s="31">
        <f t="shared" si="5"/>
        <v>429551</v>
      </c>
      <c r="H48" s="31">
        <f>SUMIFS(LinkFromRateBase!$J:$J,LinkFromRateBase!$E:$E,H$5,LinkFromRateBase!$F:$F,$D48)</f>
        <v>0</v>
      </c>
      <c r="I48" s="31">
        <f>SUMIFS(LinkFromRateBase!$J:$J,LinkFromRateBase!$E:$E,I$5,LinkFromRateBase!$F:$F,$D48)</f>
        <v>0</v>
      </c>
      <c r="J48" s="31">
        <f>SUMIFS(LinkFromRateBase!$J:$J,LinkFromRateBase!$E:$E,J$5,LinkFromRateBase!$F:$F,$D48)</f>
        <v>0</v>
      </c>
      <c r="K48" s="31">
        <f>SUMIFS(LinkFromRateBase!$J:$J,LinkFromRateBase!$E:$E,K$5,LinkFromRateBase!$F:$F,$D48)</f>
        <v>0</v>
      </c>
      <c r="L48" s="31">
        <f>SUMIFS(LinkFromRateBase!$J:$J,LinkFromRateBase!$E:$E,L$5,LinkFromRateBase!$F:$F,$D48)</f>
        <v>0</v>
      </c>
      <c r="M48" s="31">
        <f>SUMIFS(LinkFromRateBase!$J:$J,LinkFromRateBase!$E:$E,M$5,LinkFromRateBase!$F:$F,$D48)</f>
        <v>0</v>
      </c>
      <c r="N48" s="31">
        <f>SUMIFS(LinkFromRateBase!$J:$J,LinkFromRateBase!$E:$E,N$5,LinkFromRateBase!$F:$F,$D48)</f>
        <v>0</v>
      </c>
      <c r="O48" s="31">
        <f>SUMIFS(LinkFromRateBase!$J:$J,LinkFromRateBase!$E:$E,O$5,LinkFromRateBase!$F:$F,$D48)</f>
        <v>0</v>
      </c>
      <c r="P48" s="31">
        <f>SUMIFS(LinkFromRateBase!$J:$J,LinkFromRateBase!$E:$E,P$5,LinkFromRateBase!$F:$F,$D48)</f>
        <v>429551</v>
      </c>
      <c r="Q48" s="31">
        <f>SUMIFS(LinkFromRateBase!$J:$J,LinkFromRateBase!$E:$E,Q$5,LinkFromRateBase!$F:$F,$D48)</f>
        <v>0</v>
      </c>
      <c r="R48" s="31">
        <f>SUMIFS(LinkFromRateBase!$J:$J,LinkFromRateBase!$E:$E,R$5,LinkFromRateBase!$F:$F,$D48)</f>
        <v>0</v>
      </c>
      <c r="S48" s="31">
        <f>SUMIFS(LinkFromRateBase!$J:$J,LinkFromRateBase!$E:$E,S$5,LinkFromRateBase!$F:$F,$D48)</f>
        <v>0</v>
      </c>
      <c r="T48" s="31">
        <f>SUMIFS(LinkFromRateBase!$J:$J,LinkFromRateBase!$E:$E,T$5,LinkFromRateBase!$F:$F,$D48)</f>
        <v>0</v>
      </c>
      <c r="U48" s="31">
        <f>SUMIFS(LinkFromRateBase!$J:$J,LinkFromRateBase!$E:$E,U$5,LinkFromRateBase!$F:$F,$D48)</f>
        <v>0</v>
      </c>
      <c r="V48" s="31"/>
    </row>
    <row r="49" spans="2:22" x14ac:dyDescent="0.25">
      <c r="B49" s="14"/>
      <c r="H49" s="31"/>
      <c r="I49" s="31"/>
      <c r="J49" s="31"/>
      <c r="K49" s="31"/>
      <c r="L49" s="62"/>
      <c r="M49" s="62"/>
      <c r="N49" s="62"/>
      <c r="O49" s="62"/>
      <c r="P49" s="31"/>
      <c r="Q49" s="31"/>
      <c r="R49" s="31"/>
      <c r="S49" s="31"/>
      <c r="T49" s="31"/>
      <c r="U49" s="31"/>
      <c r="V49" s="31"/>
    </row>
    <row r="50" spans="2:22" x14ac:dyDescent="0.25">
      <c r="B50" s="13"/>
      <c r="C50" s="1" t="s">
        <v>6961</v>
      </c>
      <c r="H50" s="31"/>
      <c r="I50" s="31"/>
      <c r="J50" s="31"/>
      <c r="K50" s="31"/>
      <c r="L50" s="62"/>
      <c r="M50" s="62"/>
      <c r="N50" s="62"/>
      <c r="O50" s="62"/>
      <c r="P50" s="31"/>
      <c r="Q50" s="31"/>
      <c r="R50" s="31"/>
      <c r="S50" s="31"/>
      <c r="T50" s="31"/>
      <c r="U50" s="31"/>
      <c r="V50" s="31"/>
    </row>
    <row r="51" spans="2:22" x14ac:dyDescent="0.25">
      <c r="B51" s="228" t="s">
        <v>7236</v>
      </c>
      <c r="C51" s="1"/>
      <c r="D51" s="2" t="s">
        <v>8035</v>
      </c>
      <c r="F51" s="31">
        <f t="shared" ref="F51:F53" si="6">SUM(H51:U51)</f>
        <v>5548148.5</v>
      </c>
      <c r="H51" s="31">
        <f>SUMIFS(LinkFromRateBase!$J:$J,LinkFromRateBase!$E:$E,H$5,LinkFromRateBase!$F:$F,$D51)</f>
        <v>0</v>
      </c>
      <c r="I51" s="31">
        <f>SUMIFS(LinkFromRateBase!$J:$J,LinkFromRateBase!$E:$E,I$5,LinkFromRateBase!$F:$F,$D51)</f>
        <v>0</v>
      </c>
      <c r="J51" s="31">
        <f>SUMIFS(LinkFromRateBase!$J:$J,LinkFromRateBase!$E:$E,J$5,LinkFromRateBase!$F:$F,$D51)</f>
        <v>0</v>
      </c>
      <c r="K51" s="31">
        <f>SUMIFS(LinkFromRateBase!$J:$J,LinkFromRateBase!$E:$E,K$5,LinkFromRateBase!$F:$F,$D51)</f>
        <v>0</v>
      </c>
      <c r="L51" s="31">
        <f>SUMIFS(LinkFromRateBase!$J:$J,LinkFromRateBase!$E:$E,L$5,LinkFromRateBase!$F:$F,$D51)</f>
        <v>0</v>
      </c>
      <c r="M51" s="31">
        <f>SUMIFS(LinkFromRateBase!$J:$J,LinkFromRateBase!$E:$E,M$5,LinkFromRateBase!$F:$F,$D51)</f>
        <v>0</v>
      </c>
      <c r="N51" s="31">
        <f>SUMIFS(LinkFromRateBase!$J:$J,LinkFromRateBase!$E:$E,N$5,LinkFromRateBase!$F:$F,$D51)</f>
        <v>0</v>
      </c>
      <c r="O51" s="31">
        <f>SUMIFS(LinkFromRateBase!$J:$J,LinkFromRateBase!$E:$E,O$5,LinkFromRateBase!$F:$F,$D51)</f>
        <v>0</v>
      </c>
      <c r="P51" s="31">
        <f>SUMIFS(LinkFromRateBase!$J:$J,LinkFromRateBase!$E:$E,P$5,LinkFromRateBase!$F:$F,$D51)</f>
        <v>0</v>
      </c>
      <c r="Q51" s="31">
        <f>SUMIFS(LinkFromRateBase!$J:$J,LinkFromRateBase!$E:$E,Q$5,LinkFromRateBase!$F:$F,$D51)</f>
        <v>5548148.5</v>
      </c>
      <c r="R51" s="31">
        <f>SUMIFS(LinkFromRateBase!$J:$J,LinkFromRateBase!$E:$E,R$5,LinkFromRateBase!$F:$F,$D51)</f>
        <v>0</v>
      </c>
      <c r="S51" s="31">
        <f>SUMIFS(LinkFromRateBase!$J:$J,LinkFromRateBase!$E:$E,S$5,LinkFromRateBase!$F:$F,$D51)</f>
        <v>0</v>
      </c>
      <c r="T51" s="31">
        <f>SUMIFS(LinkFromRateBase!$J:$J,LinkFromRateBase!$E:$E,T$5,LinkFromRateBase!$F:$F,$D51)</f>
        <v>0</v>
      </c>
      <c r="U51" s="31">
        <f>SUMIFS(LinkFromRateBase!$J:$J,LinkFromRateBase!$E:$E,U$5,LinkFromRateBase!$F:$F,$D51)</f>
        <v>0</v>
      </c>
      <c r="V51" s="31"/>
    </row>
    <row r="52" spans="2:22" x14ac:dyDescent="0.25">
      <c r="B52" s="228" t="s">
        <v>7236</v>
      </c>
      <c r="C52" s="1"/>
      <c r="D52" s="2" t="s">
        <v>8037</v>
      </c>
      <c r="F52" s="31">
        <f t="shared" si="6"/>
        <v>167801</v>
      </c>
      <c r="H52" s="31">
        <f>SUMIFS(LinkFromRateBase!$J:$J,LinkFromRateBase!$E:$E,H$5,LinkFromRateBase!$F:$F,$D52)</f>
        <v>0</v>
      </c>
      <c r="I52" s="31">
        <f>SUMIFS(LinkFromRateBase!$J:$J,LinkFromRateBase!$E:$E,I$5,LinkFromRateBase!$F:$F,$D52)</f>
        <v>0</v>
      </c>
      <c r="J52" s="31">
        <f>SUMIFS(LinkFromRateBase!$J:$J,LinkFromRateBase!$E:$E,J$5,LinkFromRateBase!$F:$F,$D52)</f>
        <v>0</v>
      </c>
      <c r="K52" s="31">
        <f>SUMIFS(LinkFromRateBase!$J:$J,LinkFromRateBase!$E:$E,K$5,LinkFromRateBase!$F:$F,$D52)</f>
        <v>0</v>
      </c>
      <c r="L52" s="31">
        <f>SUMIFS(LinkFromRateBase!$J:$J,LinkFromRateBase!$E:$E,L$5,LinkFromRateBase!$F:$F,$D52)</f>
        <v>0</v>
      </c>
      <c r="M52" s="31">
        <f>SUMIFS(LinkFromRateBase!$J:$J,LinkFromRateBase!$E:$E,M$5,LinkFromRateBase!$F:$F,$D52)</f>
        <v>0</v>
      </c>
      <c r="N52" s="31">
        <f>SUMIFS(LinkFromRateBase!$J:$J,LinkFromRateBase!$E:$E,N$5,LinkFromRateBase!$F:$F,$D52)</f>
        <v>0</v>
      </c>
      <c r="O52" s="31">
        <f>SUMIFS(LinkFromRateBase!$J:$J,LinkFromRateBase!$E:$E,O$5,LinkFromRateBase!$F:$F,$D52)</f>
        <v>0</v>
      </c>
      <c r="P52" s="31">
        <f>SUMIFS(LinkFromRateBase!$J:$J,LinkFromRateBase!$E:$E,P$5,LinkFromRateBase!$F:$F,$D52)</f>
        <v>0</v>
      </c>
      <c r="Q52" s="31">
        <f>SUMIFS(LinkFromRateBase!$J:$J,LinkFromRateBase!$E:$E,Q$5,LinkFromRateBase!$F:$F,$D52)</f>
        <v>167801</v>
      </c>
      <c r="R52" s="31">
        <f>SUMIFS(LinkFromRateBase!$J:$J,LinkFromRateBase!$E:$E,R$5,LinkFromRateBase!$F:$F,$D52)</f>
        <v>0</v>
      </c>
      <c r="S52" s="31">
        <f>SUMIFS(LinkFromRateBase!$J:$J,LinkFromRateBase!$E:$E,S$5,LinkFromRateBase!$F:$F,$D52)</f>
        <v>0</v>
      </c>
      <c r="T52" s="31">
        <f>SUMIFS(LinkFromRateBase!$J:$J,LinkFromRateBase!$E:$E,T$5,LinkFromRateBase!$F:$F,$D52)</f>
        <v>0</v>
      </c>
      <c r="U52" s="31">
        <f>SUMIFS(LinkFromRateBase!$J:$J,LinkFromRateBase!$E:$E,U$5,LinkFromRateBase!$F:$F,$D52)</f>
        <v>0</v>
      </c>
      <c r="V52" s="31"/>
    </row>
    <row r="53" spans="2:22" x14ac:dyDescent="0.25">
      <c r="B53" s="228" t="s">
        <v>7236</v>
      </c>
      <c r="C53" s="1"/>
      <c r="D53" s="2" t="s">
        <v>8039</v>
      </c>
      <c r="F53" s="31">
        <f t="shared" si="6"/>
        <v>2848882</v>
      </c>
      <c r="H53" s="31">
        <f>SUMIFS(LinkFromRateBase!$J:$J,LinkFromRateBase!$E:$E,H$5,LinkFromRateBase!$F:$F,$D53)</f>
        <v>0</v>
      </c>
      <c r="I53" s="31">
        <f>SUMIFS(LinkFromRateBase!$J:$J,LinkFromRateBase!$E:$E,I$5,LinkFromRateBase!$F:$F,$D53)</f>
        <v>0</v>
      </c>
      <c r="J53" s="31">
        <f>SUMIFS(LinkFromRateBase!$J:$J,LinkFromRateBase!$E:$E,J$5,LinkFromRateBase!$F:$F,$D53)</f>
        <v>0</v>
      </c>
      <c r="K53" s="31">
        <f>SUMIFS(LinkFromRateBase!$J:$J,LinkFromRateBase!$E:$E,K$5,LinkFromRateBase!$F:$F,$D53)</f>
        <v>0</v>
      </c>
      <c r="L53" s="31">
        <f>SUMIFS(LinkFromRateBase!$J:$J,LinkFromRateBase!$E:$E,L$5,LinkFromRateBase!$F:$F,$D53)</f>
        <v>0</v>
      </c>
      <c r="M53" s="31">
        <f>SUMIFS(LinkFromRateBase!$J:$J,LinkFromRateBase!$E:$E,M$5,LinkFromRateBase!$F:$F,$D53)</f>
        <v>0</v>
      </c>
      <c r="N53" s="31">
        <f>SUMIFS(LinkFromRateBase!$J:$J,LinkFromRateBase!$E:$E,N$5,LinkFromRateBase!$F:$F,$D53)</f>
        <v>0</v>
      </c>
      <c r="O53" s="31">
        <f>SUMIFS(LinkFromRateBase!$J:$J,LinkFromRateBase!$E:$E,O$5,LinkFromRateBase!$F:$F,$D53)</f>
        <v>0</v>
      </c>
      <c r="P53" s="31">
        <f>SUMIFS(LinkFromRateBase!$J:$J,LinkFromRateBase!$E:$E,P$5,LinkFromRateBase!$F:$F,$D53)</f>
        <v>0</v>
      </c>
      <c r="Q53" s="31">
        <f>SUMIFS(LinkFromRateBase!$J:$J,LinkFromRateBase!$E:$E,Q$5,LinkFromRateBase!$F:$F,$D53)</f>
        <v>2848882</v>
      </c>
      <c r="R53" s="31">
        <f>SUMIFS(LinkFromRateBase!$J:$J,LinkFromRateBase!$E:$E,R$5,LinkFromRateBase!$F:$F,$D53)</f>
        <v>0</v>
      </c>
      <c r="S53" s="31">
        <f>SUMIFS(LinkFromRateBase!$J:$J,LinkFromRateBase!$E:$E,S$5,LinkFromRateBase!$F:$F,$D53)</f>
        <v>0</v>
      </c>
      <c r="T53" s="31">
        <f>SUMIFS(LinkFromRateBase!$J:$J,LinkFromRateBase!$E:$E,T$5,LinkFromRateBase!$F:$F,$D53)</f>
        <v>0</v>
      </c>
      <c r="U53" s="31">
        <f>SUMIFS(LinkFromRateBase!$J:$J,LinkFromRateBase!$E:$E,U$5,LinkFromRateBase!$F:$F,$D53)</f>
        <v>0</v>
      </c>
      <c r="V53" s="31"/>
    </row>
    <row r="54" spans="2:22" x14ac:dyDescent="0.25">
      <c r="B54" s="228" t="s">
        <v>7236</v>
      </c>
      <c r="C54" s="1"/>
      <c r="D54" s="2" t="s">
        <v>8041</v>
      </c>
      <c r="F54" s="31">
        <f t="shared" ref="F54" si="7">SUM(H54:U54)</f>
        <v>-16720</v>
      </c>
      <c r="H54" s="31">
        <f>SUMIFS(LinkFromRateBase!$J:$J,LinkFromRateBase!$E:$E,H$5,LinkFromRateBase!$F:$F,$D54)</f>
        <v>0</v>
      </c>
      <c r="I54" s="31">
        <f>SUMIFS(LinkFromRateBase!$J:$J,LinkFromRateBase!$E:$E,I$5,LinkFromRateBase!$F:$F,$D54)</f>
        <v>0</v>
      </c>
      <c r="J54" s="31">
        <f>SUMIFS(LinkFromRateBase!$J:$J,LinkFromRateBase!$E:$E,J$5,LinkFromRateBase!$F:$F,$D54)</f>
        <v>0</v>
      </c>
      <c r="K54" s="31">
        <f>SUMIFS(LinkFromRateBase!$J:$J,LinkFromRateBase!$E:$E,K$5,LinkFromRateBase!$F:$F,$D54)</f>
        <v>0</v>
      </c>
      <c r="L54" s="31">
        <f>SUMIFS(LinkFromRateBase!$J:$J,LinkFromRateBase!$E:$E,L$5,LinkFromRateBase!$F:$F,$D54)</f>
        <v>0</v>
      </c>
      <c r="M54" s="31">
        <f>SUMIFS(LinkFromRateBase!$J:$J,LinkFromRateBase!$E:$E,M$5,LinkFromRateBase!$F:$F,$D54)</f>
        <v>0</v>
      </c>
      <c r="N54" s="31">
        <f>SUMIFS(LinkFromRateBase!$J:$J,LinkFromRateBase!$E:$E,N$5,LinkFromRateBase!$F:$F,$D54)</f>
        <v>0</v>
      </c>
      <c r="O54" s="31">
        <f>SUMIFS(LinkFromRateBase!$J:$J,LinkFromRateBase!$E:$E,O$5,LinkFromRateBase!$F:$F,$D54)</f>
        <v>0</v>
      </c>
      <c r="P54" s="31">
        <f>SUMIFS(LinkFromRateBase!$J:$J,LinkFromRateBase!$E:$E,P$5,LinkFromRateBase!$F:$F,$D54)</f>
        <v>0</v>
      </c>
      <c r="Q54" s="31">
        <f>SUMIFS(LinkFromRateBase!$J:$J,LinkFromRateBase!$E:$E,Q$5,LinkFromRateBase!$F:$F,$D54)</f>
        <v>-16720</v>
      </c>
      <c r="R54" s="31">
        <f>SUMIFS(LinkFromRateBase!$J:$J,LinkFromRateBase!$E:$E,R$5,LinkFromRateBase!$F:$F,$D54)</f>
        <v>0</v>
      </c>
      <c r="S54" s="31">
        <f>SUMIFS(LinkFromRateBase!$J:$J,LinkFromRateBase!$E:$E,S$5,LinkFromRateBase!$F:$F,$D54)</f>
        <v>0</v>
      </c>
      <c r="T54" s="31">
        <f>SUMIFS(LinkFromRateBase!$J:$J,LinkFromRateBase!$E:$E,T$5,LinkFromRateBase!$F:$F,$D54)</f>
        <v>0</v>
      </c>
      <c r="U54" s="31">
        <f>SUMIFS(LinkFromRateBase!$J:$J,LinkFromRateBase!$E:$E,U$5,LinkFromRateBase!$F:$F,$D54)</f>
        <v>0</v>
      </c>
      <c r="V54" s="31"/>
    </row>
    <row r="55" spans="2:22" x14ac:dyDescent="0.25">
      <c r="B55" s="228" t="s">
        <v>7236</v>
      </c>
      <c r="C55" s="1"/>
      <c r="D55" s="2" t="s">
        <v>8043</v>
      </c>
      <c r="F55" s="31">
        <f t="shared" ref="F55" si="8">SUM(H55:U55)</f>
        <v>2100855</v>
      </c>
      <c r="H55" s="31">
        <f>SUMIFS(LinkFromRateBase!$J:$J,LinkFromRateBase!$E:$E,H$5,LinkFromRateBase!$F:$F,$D55)</f>
        <v>0</v>
      </c>
      <c r="I55" s="31">
        <f>SUMIFS(LinkFromRateBase!$J:$J,LinkFromRateBase!$E:$E,I$5,LinkFromRateBase!$F:$F,$D55)</f>
        <v>0</v>
      </c>
      <c r="J55" s="31">
        <f>SUMIFS(LinkFromRateBase!$J:$J,LinkFromRateBase!$E:$E,J$5,LinkFromRateBase!$F:$F,$D55)</f>
        <v>0</v>
      </c>
      <c r="K55" s="31">
        <f>SUMIFS(LinkFromRateBase!$J:$J,LinkFromRateBase!$E:$E,K$5,LinkFromRateBase!$F:$F,$D55)</f>
        <v>0</v>
      </c>
      <c r="L55" s="31">
        <f>SUMIFS(LinkFromRateBase!$J:$J,LinkFromRateBase!$E:$E,L$5,LinkFromRateBase!$F:$F,$D55)</f>
        <v>0</v>
      </c>
      <c r="M55" s="31">
        <f>SUMIFS(LinkFromRateBase!$J:$J,LinkFromRateBase!$E:$E,M$5,LinkFromRateBase!$F:$F,$D55)</f>
        <v>0</v>
      </c>
      <c r="N55" s="31">
        <f>SUMIFS(LinkFromRateBase!$J:$J,LinkFromRateBase!$E:$E,N$5,LinkFromRateBase!$F:$F,$D55)</f>
        <v>0</v>
      </c>
      <c r="O55" s="31">
        <f>SUMIFS(LinkFromRateBase!$J:$J,LinkFromRateBase!$E:$E,O$5,LinkFromRateBase!$F:$F,$D55)</f>
        <v>0</v>
      </c>
      <c r="P55" s="31">
        <f>SUMIFS(LinkFromRateBase!$J:$J,LinkFromRateBase!$E:$E,P$5,LinkFromRateBase!$F:$F,$D55)</f>
        <v>0</v>
      </c>
      <c r="Q55" s="31">
        <f>SUMIFS(LinkFromRateBase!$J:$J,LinkFromRateBase!$E:$E,Q$5,LinkFromRateBase!$F:$F,$D55)</f>
        <v>2100855</v>
      </c>
      <c r="R55" s="31">
        <f>SUMIFS(LinkFromRateBase!$J:$J,LinkFromRateBase!$E:$E,R$5,LinkFromRateBase!$F:$F,$D55)</f>
        <v>0</v>
      </c>
      <c r="S55" s="31">
        <f>SUMIFS(LinkFromRateBase!$J:$J,LinkFromRateBase!$E:$E,S$5,LinkFromRateBase!$F:$F,$D55)</f>
        <v>0</v>
      </c>
      <c r="T55" s="31">
        <f>SUMIFS(LinkFromRateBase!$J:$J,LinkFromRateBase!$E:$E,T$5,LinkFromRateBase!$F:$F,$D55)</f>
        <v>0</v>
      </c>
      <c r="U55" s="31">
        <f>SUMIFS(LinkFromRateBase!$J:$J,LinkFromRateBase!$E:$E,U$5,LinkFromRateBase!$F:$F,$D55)</f>
        <v>0</v>
      </c>
      <c r="V55" s="31"/>
    </row>
    <row r="56" spans="2:22" x14ac:dyDescent="0.25">
      <c r="B56" s="13"/>
      <c r="C56" s="1"/>
      <c r="H56" s="31"/>
      <c r="I56" s="31"/>
      <c r="J56" s="31"/>
      <c r="K56" s="31"/>
      <c r="L56" s="62"/>
      <c r="M56" s="62"/>
      <c r="N56" s="62"/>
      <c r="O56" s="62"/>
      <c r="P56" s="31"/>
      <c r="Q56" s="31"/>
      <c r="R56" s="31"/>
      <c r="S56" s="31"/>
      <c r="T56" s="31"/>
      <c r="U56" s="31"/>
      <c r="V56" s="31"/>
    </row>
    <row r="57" spans="2:22" x14ac:dyDescent="0.25">
      <c r="B57" s="13"/>
      <c r="C57" s="1" t="s">
        <v>6962</v>
      </c>
      <c r="H57" s="31"/>
      <c r="I57" s="31"/>
      <c r="J57" s="31"/>
      <c r="K57" s="31"/>
      <c r="L57" s="62"/>
      <c r="M57" s="62"/>
      <c r="N57" s="62"/>
      <c r="O57" s="62"/>
      <c r="P57" s="31"/>
      <c r="Q57" s="31"/>
      <c r="R57" s="31"/>
      <c r="S57" s="31"/>
      <c r="T57" s="31"/>
      <c r="U57" s="31"/>
      <c r="V57" s="31"/>
    </row>
    <row r="58" spans="2:22" x14ac:dyDescent="0.25">
      <c r="B58" s="228" t="s">
        <v>7235</v>
      </c>
      <c r="C58" s="1"/>
      <c r="D58" s="2" t="s">
        <v>8033</v>
      </c>
      <c r="F58" s="31">
        <f t="shared" ref="F58" si="9">SUM(H58:U58)</f>
        <v>4202409</v>
      </c>
      <c r="H58" s="31">
        <f>SUMIFS(LinkFromRateBase!$J:$J,LinkFromRateBase!$E:$E,H$5,LinkFromRateBase!$F:$F,$D58)</f>
        <v>0</v>
      </c>
      <c r="I58" s="31">
        <f>SUMIFS(LinkFromRateBase!$J:$J,LinkFromRateBase!$E:$E,I$5,LinkFromRateBase!$F:$F,$D58)</f>
        <v>0</v>
      </c>
      <c r="J58" s="31">
        <f>SUMIFS(LinkFromRateBase!$J:$J,LinkFromRateBase!$E:$E,J$5,LinkFromRateBase!$F:$F,$D58)</f>
        <v>0</v>
      </c>
      <c r="K58" s="31">
        <f>SUMIFS(LinkFromRateBase!$J:$J,LinkFromRateBase!$E:$E,K$5,LinkFromRateBase!$F:$F,$D58)</f>
        <v>0</v>
      </c>
      <c r="L58" s="31">
        <f>SUMIFS(LinkFromRateBase!$J:$J,LinkFromRateBase!$E:$E,L$5,LinkFromRateBase!$F:$F,$D58)</f>
        <v>0</v>
      </c>
      <c r="M58" s="31">
        <f>SUMIFS(LinkFromRateBase!$J:$J,LinkFromRateBase!$E:$E,M$5,LinkFromRateBase!$F:$F,$D58)</f>
        <v>0</v>
      </c>
      <c r="N58" s="31">
        <f>SUMIFS(LinkFromRateBase!$J:$J,LinkFromRateBase!$E:$E,N$5,LinkFromRateBase!$F:$F,$D58)</f>
        <v>0</v>
      </c>
      <c r="O58" s="31">
        <f>SUMIFS(LinkFromRateBase!$J:$J,LinkFromRateBase!$E:$E,O$5,LinkFromRateBase!$F:$F,$D58)</f>
        <v>0</v>
      </c>
      <c r="P58" s="31">
        <f>SUMIFS(LinkFromRateBase!$J:$J,LinkFromRateBase!$E:$E,P$5,LinkFromRateBase!$F:$F,$D58)</f>
        <v>0</v>
      </c>
      <c r="Q58" s="31">
        <f>SUMIFS(LinkFromRateBase!$J:$J,LinkFromRateBase!$E:$E,Q$5,LinkFromRateBase!$F:$F,$D58)</f>
        <v>0</v>
      </c>
      <c r="R58" s="31">
        <f>SUMIFS(LinkFromRateBase!$J:$J,LinkFromRateBase!$E:$E,R$5,LinkFromRateBase!$F:$F,$D58)</f>
        <v>4202409</v>
      </c>
      <c r="S58" s="31">
        <f>SUMIFS(LinkFromRateBase!$J:$J,LinkFromRateBase!$E:$E,S$5,LinkFromRateBase!$F:$F,$D58)</f>
        <v>0</v>
      </c>
      <c r="T58" s="31">
        <f>SUMIFS(LinkFromRateBase!$J:$J,LinkFromRateBase!$E:$E,T$5,LinkFromRateBase!$F:$F,$D58)</f>
        <v>0</v>
      </c>
      <c r="U58" s="31">
        <f>SUMIFS(LinkFromRateBase!$J:$J,LinkFromRateBase!$E:$E,U$5,LinkFromRateBase!$F:$F,$D58)</f>
        <v>0</v>
      </c>
      <c r="V58" s="31"/>
    </row>
    <row r="59" spans="2:22" x14ac:dyDescent="0.25">
      <c r="B59" s="13"/>
      <c r="C59" s="1"/>
      <c r="H59" s="31"/>
      <c r="I59" s="31"/>
      <c r="J59" s="31"/>
      <c r="K59" s="31"/>
      <c r="L59" s="62"/>
      <c r="M59" s="62"/>
      <c r="N59" s="62"/>
      <c r="O59" s="62"/>
      <c r="P59" s="31"/>
      <c r="Q59" s="31"/>
      <c r="R59" s="31"/>
      <c r="S59" s="31"/>
      <c r="T59" s="31"/>
      <c r="U59" s="31"/>
      <c r="V59" s="31"/>
    </row>
    <row r="60" spans="2:22" x14ac:dyDescent="0.25">
      <c r="B60" s="13"/>
      <c r="C60" s="1" t="s">
        <v>6963</v>
      </c>
      <c r="H60" s="31"/>
      <c r="I60" s="31"/>
      <c r="J60" s="31"/>
      <c r="K60" s="31"/>
      <c r="L60" s="62"/>
      <c r="M60" s="62"/>
      <c r="N60" s="62"/>
      <c r="O60" s="62"/>
      <c r="P60" s="31"/>
      <c r="Q60" s="31"/>
      <c r="R60" s="31"/>
      <c r="S60" s="31"/>
      <c r="T60" s="31"/>
      <c r="U60" s="31"/>
      <c r="V60" s="31"/>
    </row>
    <row r="61" spans="2:22" x14ac:dyDescent="0.25">
      <c r="B61" s="228" t="s">
        <v>7237</v>
      </c>
      <c r="C61" s="1"/>
      <c r="D61" s="2" t="s">
        <v>8045</v>
      </c>
      <c r="F61" s="31">
        <f>SUM(H61:U61)</f>
        <v>11343121.5</v>
      </c>
      <c r="H61" s="31">
        <f>SUMIFS(LinkFromRateBase!$J:$J,LinkFromRateBase!$E:$E,H$5,LinkFromRateBase!$F:$F,$D61)</f>
        <v>0</v>
      </c>
      <c r="I61" s="31">
        <f>SUMIFS(LinkFromRateBase!$J:$J,LinkFromRateBase!$E:$E,I$5,LinkFromRateBase!$F:$F,$D61)</f>
        <v>0</v>
      </c>
      <c r="J61" s="31">
        <f>SUMIFS(LinkFromRateBase!$J:$J,LinkFromRateBase!$E:$E,J$5,LinkFromRateBase!$F:$F,$D61)</f>
        <v>0</v>
      </c>
      <c r="K61" s="31">
        <f>SUMIFS(LinkFromRateBase!$J:$J,LinkFromRateBase!$E:$E,K$5,LinkFromRateBase!$F:$F,$D61)</f>
        <v>0</v>
      </c>
      <c r="L61" s="31">
        <f>SUMIFS(LinkFromRateBase!$J:$J,LinkFromRateBase!$E:$E,L$5,LinkFromRateBase!$F:$F,$D61)</f>
        <v>0</v>
      </c>
      <c r="M61" s="31">
        <f>SUMIFS(LinkFromRateBase!$J:$J,LinkFromRateBase!$E:$E,M$5,LinkFromRateBase!$F:$F,$D61)</f>
        <v>0</v>
      </c>
      <c r="N61" s="31">
        <f>SUMIFS(LinkFromRateBase!$J:$J,LinkFromRateBase!$E:$E,N$5,LinkFromRateBase!$F:$F,$D61)</f>
        <v>0</v>
      </c>
      <c r="O61" s="31">
        <f>SUMIFS(LinkFromRateBase!$J:$J,LinkFromRateBase!$E:$E,O$5,LinkFromRateBase!$F:$F,$D61)</f>
        <v>0</v>
      </c>
      <c r="P61" s="31">
        <f>SUMIFS(LinkFromRateBase!$J:$J,LinkFromRateBase!$E:$E,P$5,LinkFromRateBase!$F:$F,$D61)</f>
        <v>0</v>
      </c>
      <c r="Q61" s="31">
        <f>SUMIFS(LinkFromRateBase!$J:$J,LinkFromRateBase!$E:$E,Q$5,LinkFromRateBase!$F:$F,$D61)</f>
        <v>0</v>
      </c>
      <c r="R61" s="31">
        <f>SUMIFS(LinkFromRateBase!$J:$J,LinkFromRateBase!$E:$E,R$5,LinkFromRateBase!$F:$F,$D61)</f>
        <v>0</v>
      </c>
      <c r="S61" s="31">
        <f>SUMIFS(LinkFromRateBase!$J:$J,LinkFromRateBase!$E:$E,S$5,LinkFromRateBase!$F:$F,$D61)</f>
        <v>0</v>
      </c>
      <c r="T61" s="31">
        <f>SUMIFS(LinkFromRateBase!$J:$J,LinkFromRateBase!$E:$E,T$5,LinkFromRateBase!$F:$F,$D61)</f>
        <v>11343121.5</v>
      </c>
      <c r="U61" s="31">
        <f>SUMIFS(LinkFromRateBase!$J:$J,LinkFromRateBase!$E:$E,U$5,LinkFromRateBase!$F:$F,$D61)</f>
        <v>0</v>
      </c>
      <c r="V61" s="31"/>
    </row>
    <row r="62" spans="2:22" x14ac:dyDescent="0.25">
      <c r="B62" s="13"/>
      <c r="C62" s="1"/>
      <c r="H62" s="31"/>
      <c r="I62" s="31"/>
      <c r="J62" s="31"/>
      <c r="K62" s="31"/>
      <c r="L62" s="62"/>
      <c r="M62" s="62"/>
      <c r="N62" s="62"/>
      <c r="O62" s="62"/>
      <c r="P62" s="31"/>
      <c r="Q62" s="31"/>
      <c r="R62" s="31"/>
      <c r="S62" s="31"/>
      <c r="T62" s="31"/>
      <c r="U62" s="31"/>
      <c r="V62" s="31"/>
    </row>
    <row r="63" spans="2:22" x14ac:dyDescent="0.25">
      <c r="B63" s="13"/>
      <c r="C63" s="1" t="s">
        <v>6927</v>
      </c>
      <c r="H63" s="31"/>
      <c r="I63" s="31"/>
      <c r="J63" s="31"/>
      <c r="K63" s="31"/>
      <c r="L63" s="62"/>
      <c r="M63" s="62"/>
      <c r="N63" s="62"/>
      <c r="O63" s="62"/>
      <c r="P63" s="31"/>
      <c r="Q63" s="31"/>
      <c r="R63" s="31"/>
      <c r="S63" s="31"/>
      <c r="T63" s="31"/>
      <c r="U63" s="31"/>
      <c r="V63" s="31"/>
    </row>
    <row r="64" spans="2:22" x14ac:dyDescent="0.25">
      <c r="B64" s="229" t="s">
        <v>7197</v>
      </c>
      <c r="D64" s="15" t="s">
        <v>8049</v>
      </c>
      <c r="F64" s="31">
        <f t="shared" ref="F64:F91" si="10">SUM(H64:U64)</f>
        <v>15000</v>
      </c>
      <c r="H64" s="31">
        <f>SUMIFS(LinkFromRateBase!$J:$J,LinkFromRateBase!$E:$E,H$5,LinkFromRateBase!$F:$F,$D64)</f>
        <v>0</v>
      </c>
      <c r="I64" s="31">
        <f>SUMIFS(LinkFromRateBase!$J:$J,LinkFromRateBase!$E:$E,I$5,LinkFromRateBase!$F:$F,$D64)</f>
        <v>0</v>
      </c>
      <c r="J64" s="31">
        <f>SUMIFS(LinkFromRateBase!$J:$J,LinkFromRateBase!$E:$E,J$5,LinkFromRateBase!$F:$F,$D64)</f>
        <v>0</v>
      </c>
      <c r="K64" s="31">
        <f>SUMIFS(LinkFromRateBase!$J:$J,LinkFromRateBase!$E:$E,K$5,LinkFromRateBase!$F:$F,$D64)</f>
        <v>0</v>
      </c>
      <c r="L64" s="31">
        <f>SUMIFS(LinkFromRateBase!$J:$J,LinkFromRateBase!$E:$E,L$5,LinkFromRateBase!$F:$F,$D64)</f>
        <v>0</v>
      </c>
      <c r="M64" s="31">
        <f>SUMIFS(LinkFromRateBase!$J:$J,LinkFromRateBase!$E:$E,M$5,LinkFromRateBase!$F:$F,$D64)</f>
        <v>0</v>
      </c>
      <c r="N64" s="31">
        <f>SUMIFS(LinkFromRateBase!$J:$J,LinkFromRateBase!$E:$E,N$5,LinkFromRateBase!$F:$F,$D64)</f>
        <v>0</v>
      </c>
      <c r="O64" s="31">
        <f>SUMIFS(LinkFromRateBase!$J:$J,LinkFromRateBase!$E:$E,O$5,LinkFromRateBase!$F:$F,$D64)</f>
        <v>0</v>
      </c>
      <c r="P64" s="31">
        <f>SUMIFS(LinkFromRateBase!$J:$J,LinkFromRateBase!$E:$E,P$5,LinkFromRateBase!$F:$F,$D64)</f>
        <v>0</v>
      </c>
      <c r="Q64" s="31">
        <f>SUMIFS(LinkFromRateBase!$J:$J,LinkFromRateBase!$E:$E,Q$5,LinkFromRateBase!$F:$F,$D64)</f>
        <v>0</v>
      </c>
      <c r="R64" s="31">
        <f>SUMIFS(LinkFromRateBase!$J:$J,LinkFromRateBase!$E:$E,R$5,LinkFromRateBase!$F:$F,$D64)</f>
        <v>0</v>
      </c>
      <c r="S64" s="31">
        <f>SUMIFS(LinkFromRateBase!$J:$J,LinkFromRateBase!$E:$E,S$5,LinkFromRateBase!$F:$F,$D64)</f>
        <v>0</v>
      </c>
      <c r="T64" s="31">
        <f>SUMIFS(LinkFromRateBase!$J:$J,LinkFromRateBase!$E:$E,T$5,LinkFromRateBase!$F:$F,$D64)</f>
        <v>0</v>
      </c>
      <c r="U64" s="31">
        <f>SUMIFS(LinkFromRateBase!$J:$J,LinkFromRateBase!$E:$E,U$5,LinkFromRateBase!$F:$F,$D64)</f>
        <v>15000</v>
      </c>
      <c r="V64" s="31"/>
    </row>
    <row r="65" spans="2:22" x14ac:dyDescent="0.25">
      <c r="B65" s="229" t="s">
        <v>7206</v>
      </c>
      <c r="D65" s="15" t="s">
        <v>8051</v>
      </c>
      <c r="F65" s="31">
        <f t="shared" si="10"/>
        <v>1119463.5</v>
      </c>
      <c r="H65" s="31">
        <f>SUMIFS(LinkFromRateBase!$J:$J,LinkFromRateBase!$E:$E,H$5,LinkFromRateBase!$F:$F,$D65)</f>
        <v>0</v>
      </c>
      <c r="I65" s="31">
        <f>SUMIFS(LinkFromRateBase!$J:$J,LinkFromRateBase!$E:$E,I$5,LinkFromRateBase!$F:$F,$D65)</f>
        <v>0</v>
      </c>
      <c r="J65" s="31">
        <f>SUMIFS(LinkFromRateBase!$J:$J,LinkFromRateBase!$E:$E,J$5,LinkFromRateBase!$F:$F,$D65)</f>
        <v>0</v>
      </c>
      <c r="K65" s="31">
        <f>SUMIFS(LinkFromRateBase!$J:$J,LinkFromRateBase!$E:$E,K$5,LinkFromRateBase!$F:$F,$D65)</f>
        <v>0</v>
      </c>
      <c r="L65" s="31">
        <f>SUMIFS(LinkFromRateBase!$J:$J,LinkFromRateBase!$E:$E,L$5,LinkFromRateBase!$F:$F,$D65)</f>
        <v>0</v>
      </c>
      <c r="M65" s="31">
        <f>SUMIFS(LinkFromRateBase!$J:$J,LinkFromRateBase!$E:$E,M$5,LinkFromRateBase!$F:$F,$D65)</f>
        <v>0</v>
      </c>
      <c r="N65" s="31">
        <f>SUMIFS(LinkFromRateBase!$J:$J,LinkFromRateBase!$E:$E,N$5,LinkFromRateBase!$F:$F,$D65)</f>
        <v>0</v>
      </c>
      <c r="O65" s="31">
        <f>SUMIFS(LinkFromRateBase!$J:$J,LinkFromRateBase!$E:$E,O$5,LinkFromRateBase!$F:$F,$D65)</f>
        <v>0</v>
      </c>
      <c r="P65" s="31">
        <f>SUMIFS(LinkFromRateBase!$J:$J,LinkFromRateBase!$E:$E,P$5,LinkFromRateBase!$F:$F,$D65)</f>
        <v>0</v>
      </c>
      <c r="Q65" s="31">
        <f>SUMIFS(LinkFromRateBase!$J:$J,LinkFromRateBase!$E:$E,Q$5,LinkFromRateBase!$F:$F,$D65)</f>
        <v>0</v>
      </c>
      <c r="R65" s="31">
        <f>SUMIFS(LinkFromRateBase!$J:$J,LinkFromRateBase!$E:$E,R$5,LinkFromRateBase!$F:$F,$D65)</f>
        <v>0</v>
      </c>
      <c r="S65" s="31">
        <f>SUMIFS(LinkFromRateBase!$J:$J,LinkFromRateBase!$E:$E,S$5,LinkFromRateBase!$F:$F,$D65)</f>
        <v>0</v>
      </c>
      <c r="T65" s="31">
        <f>SUMIFS(LinkFromRateBase!$J:$J,LinkFromRateBase!$E:$E,T$5,LinkFromRateBase!$F:$F,$D65)</f>
        <v>0</v>
      </c>
      <c r="U65" s="31">
        <f>SUMIFS(LinkFromRateBase!$J:$J,LinkFromRateBase!$E:$E,U$5,LinkFromRateBase!$F:$F,$D65)</f>
        <v>1119463.5</v>
      </c>
      <c r="V65" s="31"/>
    </row>
    <row r="66" spans="2:22" x14ac:dyDescent="0.25">
      <c r="B66" s="229" t="s">
        <v>7206</v>
      </c>
      <c r="D66" s="15" t="s">
        <v>8053</v>
      </c>
      <c r="F66" s="31">
        <f t="shared" si="10"/>
        <v>0</v>
      </c>
      <c r="H66" s="31">
        <f>SUMIFS(LinkFromRateBase!$J:$J,LinkFromRateBase!$E:$E,H$5,LinkFromRateBase!$F:$F,$D66)</f>
        <v>0</v>
      </c>
      <c r="I66" s="31">
        <f>SUMIFS(LinkFromRateBase!$J:$J,LinkFromRateBase!$E:$E,I$5,LinkFromRateBase!$F:$F,$D66)</f>
        <v>0</v>
      </c>
      <c r="J66" s="31">
        <f>SUMIFS(LinkFromRateBase!$J:$J,LinkFromRateBase!$E:$E,J$5,LinkFromRateBase!$F:$F,$D66)</f>
        <v>0</v>
      </c>
      <c r="K66" s="31">
        <f>SUMIFS(LinkFromRateBase!$J:$J,LinkFromRateBase!$E:$E,K$5,LinkFromRateBase!$F:$F,$D66)</f>
        <v>0</v>
      </c>
      <c r="L66" s="31">
        <f>SUMIFS(LinkFromRateBase!$J:$J,LinkFromRateBase!$E:$E,L$5,LinkFromRateBase!$F:$F,$D66)</f>
        <v>0</v>
      </c>
      <c r="M66" s="31">
        <f>SUMIFS(LinkFromRateBase!$J:$J,LinkFromRateBase!$E:$E,M$5,LinkFromRateBase!$F:$F,$D66)</f>
        <v>0</v>
      </c>
      <c r="N66" s="31">
        <f>SUMIFS(LinkFromRateBase!$J:$J,LinkFromRateBase!$E:$E,N$5,LinkFromRateBase!$F:$F,$D66)</f>
        <v>0</v>
      </c>
      <c r="O66" s="31">
        <f>SUMIFS(LinkFromRateBase!$J:$J,LinkFromRateBase!$E:$E,O$5,LinkFromRateBase!$F:$F,$D66)</f>
        <v>0</v>
      </c>
      <c r="P66" s="31">
        <f>SUMIFS(LinkFromRateBase!$J:$J,LinkFromRateBase!$E:$E,P$5,LinkFromRateBase!$F:$F,$D66)</f>
        <v>0</v>
      </c>
      <c r="Q66" s="31">
        <f>SUMIFS(LinkFromRateBase!$J:$J,LinkFromRateBase!$E:$E,Q$5,LinkFromRateBase!$F:$F,$D66)</f>
        <v>0</v>
      </c>
      <c r="R66" s="31">
        <f>SUMIFS(LinkFromRateBase!$J:$J,LinkFromRateBase!$E:$E,R$5,LinkFromRateBase!$F:$F,$D66)</f>
        <v>0</v>
      </c>
      <c r="S66" s="31">
        <f>SUMIFS(LinkFromRateBase!$J:$J,LinkFromRateBase!$E:$E,S$5,LinkFromRateBase!$F:$F,$D66)</f>
        <v>0</v>
      </c>
      <c r="T66" s="31">
        <f>SUMIFS(LinkFromRateBase!$J:$J,LinkFromRateBase!$E:$E,T$5,LinkFromRateBase!$F:$F,$D66)</f>
        <v>0</v>
      </c>
      <c r="U66" s="31">
        <f>SUMIFS(LinkFromRateBase!$J:$J,LinkFromRateBase!$E:$E,U$5,LinkFromRateBase!$F:$F,$D66)</f>
        <v>0</v>
      </c>
      <c r="V66" s="31"/>
    </row>
    <row r="67" spans="2:22" x14ac:dyDescent="0.25">
      <c r="B67" s="229" t="s">
        <v>7206</v>
      </c>
      <c r="D67" s="15" t="s">
        <v>8055</v>
      </c>
      <c r="F67" s="31">
        <f t="shared" si="10"/>
        <v>450242.5</v>
      </c>
      <c r="H67" s="31">
        <f>SUMIFS(LinkFromRateBase!$J:$J,LinkFromRateBase!$E:$E,H$5,LinkFromRateBase!$F:$F,$D67)</f>
        <v>0</v>
      </c>
      <c r="I67" s="31">
        <f>SUMIFS(LinkFromRateBase!$J:$J,LinkFromRateBase!$E:$E,I$5,LinkFromRateBase!$F:$F,$D67)</f>
        <v>0</v>
      </c>
      <c r="J67" s="31">
        <f>SUMIFS(LinkFromRateBase!$J:$J,LinkFromRateBase!$E:$E,J$5,LinkFromRateBase!$F:$F,$D67)</f>
        <v>0</v>
      </c>
      <c r="K67" s="31">
        <f>SUMIFS(LinkFromRateBase!$J:$J,LinkFromRateBase!$E:$E,K$5,LinkFromRateBase!$F:$F,$D67)</f>
        <v>0</v>
      </c>
      <c r="L67" s="31">
        <f>SUMIFS(LinkFromRateBase!$J:$J,LinkFromRateBase!$E:$E,L$5,LinkFromRateBase!$F:$F,$D67)</f>
        <v>0</v>
      </c>
      <c r="M67" s="31">
        <f>SUMIFS(LinkFromRateBase!$J:$J,LinkFromRateBase!$E:$E,M$5,LinkFromRateBase!$F:$F,$D67)</f>
        <v>0</v>
      </c>
      <c r="N67" s="31">
        <f>SUMIFS(LinkFromRateBase!$J:$J,LinkFromRateBase!$E:$E,N$5,LinkFromRateBase!$F:$F,$D67)</f>
        <v>0</v>
      </c>
      <c r="O67" s="31">
        <f>SUMIFS(LinkFromRateBase!$J:$J,LinkFromRateBase!$E:$E,O$5,LinkFromRateBase!$F:$F,$D67)</f>
        <v>0</v>
      </c>
      <c r="P67" s="31">
        <f>SUMIFS(LinkFromRateBase!$J:$J,LinkFromRateBase!$E:$E,P$5,LinkFromRateBase!$F:$F,$D67)</f>
        <v>0</v>
      </c>
      <c r="Q67" s="31">
        <f>SUMIFS(LinkFromRateBase!$J:$J,LinkFromRateBase!$E:$E,Q$5,LinkFromRateBase!$F:$F,$D67)</f>
        <v>0</v>
      </c>
      <c r="R67" s="31">
        <f>SUMIFS(LinkFromRateBase!$J:$J,LinkFromRateBase!$E:$E,R$5,LinkFromRateBase!$F:$F,$D67)</f>
        <v>0</v>
      </c>
      <c r="S67" s="31">
        <f>SUMIFS(LinkFromRateBase!$J:$J,LinkFromRateBase!$E:$E,S$5,LinkFromRateBase!$F:$F,$D67)</f>
        <v>0</v>
      </c>
      <c r="T67" s="31">
        <f>SUMIFS(LinkFromRateBase!$J:$J,LinkFromRateBase!$E:$E,T$5,LinkFromRateBase!$F:$F,$D67)</f>
        <v>0</v>
      </c>
      <c r="U67" s="31">
        <f>SUMIFS(LinkFromRateBase!$J:$J,LinkFromRateBase!$E:$E,U$5,LinkFromRateBase!$F:$F,$D67)</f>
        <v>450242.5</v>
      </c>
      <c r="V67" s="31"/>
    </row>
    <row r="68" spans="2:22" x14ac:dyDescent="0.25">
      <c r="B68" s="229" t="s">
        <v>7206</v>
      </c>
      <c r="D68" s="15" t="s">
        <v>8057</v>
      </c>
      <c r="F68" s="31">
        <f t="shared" si="10"/>
        <v>0</v>
      </c>
      <c r="H68" s="31">
        <f>SUMIFS(LinkFromRateBase!$J:$J,LinkFromRateBase!$E:$E,H$5,LinkFromRateBase!$F:$F,$D68)</f>
        <v>0</v>
      </c>
      <c r="I68" s="31">
        <f>SUMIFS(LinkFromRateBase!$J:$J,LinkFromRateBase!$E:$E,I$5,LinkFromRateBase!$F:$F,$D68)</f>
        <v>0</v>
      </c>
      <c r="J68" s="31">
        <f>SUMIFS(LinkFromRateBase!$J:$J,LinkFromRateBase!$E:$E,J$5,LinkFromRateBase!$F:$F,$D68)</f>
        <v>0</v>
      </c>
      <c r="K68" s="31">
        <f>SUMIFS(LinkFromRateBase!$J:$J,LinkFromRateBase!$E:$E,K$5,LinkFromRateBase!$F:$F,$D68)</f>
        <v>0</v>
      </c>
      <c r="L68" s="31">
        <f>SUMIFS(LinkFromRateBase!$J:$J,LinkFromRateBase!$E:$E,L$5,LinkFromRateBase!$F:$F,$D68)</f>
        <v>0</v>
      </c>
      <c r="M68" s="31">
        <f>SUMIFS(LinkFromRateBase!$J:$J,LinkFromRateBase!$E:$E,M$5,LinkFromRateBase!$F:$F,$D68)</f>
        <v>0</v>
      </c>
      <c r="N68" s="31">
        <f>SUMIFS(LinkFromRateBase!$J:$J,LinkFromRateBase!$E:$E,N$5,LinkFromRateBase!$F:$F,$D68)</f>
        <v>0</v>
      </c>
      <c r="O68" s="31">
        <f>SUMIFS(LinkFromRateBase!$J:$J,LinkFromRateBase!$E:$E,O$5,LinkFromRateBase!$F:$F,$D68)</f>
        <v>0</v>
      </c>
      <c r="P68" s="31">
        <f>SUMIFS(LinkFromRateBase!$J:$J,LinkFromRateBase!$E:$E,P$5,LinkFromRateBase!$F:$F,$D68)</f>
        <v>0</v>
      </c>
      <c r="Q68" s="31">
        <f>SUMIFS(LinkFromRateBase!$J:$J,LinkFromRateBase!$E:$E,Q$5,LinkFromRateBase!$F:$F,$D68)</f>
        <v>0</v>
      </c>
      <c r="R68" s="31">
        <f>SUMIFS(LinkFromRateBase!$J:$J,LinkFromRateBase!$E:$E,R$5,LinkFromRateBase!$F:$F,$D68)</f>
        <v>0</v>
      </c>
      <c r="S68" s="31">
        <f>SUMIFS(LinkFromRateBase!$J:$J,LinkFromRateBase!$E:$E,S$5,LinkFromRateBase!$F:$F,$D68)</f>
        <v>0</v>
      </c>
      <c r="T68" s="31">
        <f>SUMIFS(LinkFromRateBase!$J:$J,LinkFromRateBase!$E:$E,T$5,LinkFromRateBase!$F:$F,$D68)</f>
        <v>0</v>
      </c>
      <c r="U68" s="31">
        <f>SUMIFS(LinkFromRateBase!$J:$J,LinkFromRateBase!$E:$E,U$5,LinkFromRateBase!$F:$F,$D68)</f>
        <v>0</v>
      </c>
      <c r="V68" s="31"/>
    </row>
    <row r="69" spans="2:22" x14ac:dyDescent="0.25">
      <c r="B69" s="229" t="s">
        <v>7206</v>
      </c>
      <c r="D69" s="15" t="s">
        <v>8059</v>
      </c>
      <c r="F69" s="31">
        <f t="shared" si="10"/>
        <v>35699</v>
      </c>
      <c r="H69" s="31">
        <f>SUMIFS(LinkFromRateBase!$J:$J,LinkFromRateBase!$E:$E,H$5,LinkFromRateBase!$F:$F,$D69)</f>
        <v>0</v>
      </c>
      <c r="I69" s="31">
        <f>SUMIFS(LinkFromRateBase!$J:$J,LinkFromRateBase!$E:$E,I$5,LinkFromRateBase!$F:$F,$D69)</f>
        <v>0</v>
      </c>
      <c r="J69" s="31">
        <f>SUMIFS(LinkFromRateBase!$J:$J,LinkFromRateBase!$E:$E,J$5,LinkFromRateBase!$F:$F,$D69)</f>
        <v>0</v>
      </c>
      <c r="K69" s="31">
        <f>SUMIFS(LinkFromRateBase!$J:$J,LinkFromRateBase!$E:$E,K$5,LinkFromRateBase!$F:$F,$D69)</f>
        <v>0</v>
      </c>
      <c r="L69" s="31">
        <f>SUMIFS(LinkFromRateBase!$J:$J,LinkFromRateBase!$E:$E,L$5,LinkFromRateBase!$F:$F,$D69)</f>
        <v>0</v>
      </c>
      <c r="M69" s="31">
        <f>SUMIFS(LinkFromRateBase!$J:$J,LinkFromRateBase!$E:$E,M$5,LinkFromRateBase!$F:$F,$D69)</f>
        <v>0</v>
      </c>
      <c r="N69" s="31">
        <f>SUMIFS(LinkFromRateBase!$J:$J,LinkFromRateBase!$E:$E,N$5,LinkFromRateBase!$F:$F,$D69)</f>
        <v>0</v>
      </c>
      <c r="O69" s="31">
        <f>SUMIFS(LinkFromRateBase!$J:$J,LinkFromRateBase!$E:$E,O$5,LinkFromRateBase!$F:$F,$D69)</f>
        <v>0</v>
      </c>
      <c r="P69" s="31">
        <f>SUMIFS(LinkFromRateBase!$J:$J,LinkFromRateBase!$E:$E,P$5,LinkFromRateBase!$F:$F,$D69)</f>
        <v>0</v>
      </c>
      <c r="Q69" s="31">
        <f>SUMIFS(LinkFromRateBase!$J:$J,LinkFromRateBase!$E:$E,Q$5,LinkFromRateBase!$F:$F,$D69)</f>
        <v>0</v>
      </c>
      <c r="R69" s="31">
        <f>SUMIFS(LinkFromRateBase!$J:$J,LinkFromRateBase!$E:$E,R$5,LinkFromRateBase!$F:$F,$D69)</f>
        <v>0</v>
      </c>
      <c r="S69" s="31">
        <f>SUMIFS(LinkFromRateBase!$J:$J,LinkFromRateBase!$E:$E,S$5,LinkFromRateBase!$F:$F,$D69)</f>
        <v>0</v>
      </c>
      <c r="T69" s="31">
        <f>SUMIFS(LinkFromRateBase!$J:$J,LinkFromRateBase!$E:$E,T$5,LinkFromRateBase!$F:$F,$D69)</f>
        <v>0</v>
      </c>
      <c r="U69" s="31">
        <f>SUMIFS(LinkFromRateBase!$J:$J,LinkFromRateBase!$E:$E,U$5,LinkFromRateBase!$F:$F,$D69)</f>
        <v>35699</v>
      </c>
      <c r="V69" s="31"/>
    </row>
    <row r="70" spans="2:22" x14ac:dyDescent="0.25">
      <c r="B70" s="229" t="s">
        <v>7206</v>
      </c>
      <c r="D70" s="15" t="s">
        <v>8061</v>
      </c>
      <c r="F70" s="31">
        <f t="shared" si="10"/>
        <v>456526.5</v>
      </c>
      <c r="H70" s="31">
        <f>SUMIFS(LinkFromRateBase!$J:$J,LinkFromRateBase!$E:$E,H$5,LinkFromRateBase!$F:$F,$D70)</f>
        <v>0</v>
      </c>
      <c r="I70" s="31">
        <f>SUMIFS(LinkFromRateBase!$J:$J,LinkFromRateBase!$E:$E,I$5,LinkFromRateBase!$F:$F,$D70)</f>
        <v>0</v>
      </c>
      <c r="J70" s="31">
        <f>SUMIFS(LinkFromRateBase!$J:$J,LinkFromRateBase!$E:$E,J$5,LinkFromRateBase!$F:$F,$D70)</f>
        <v>0</v>
      </c>
      <c r="K70" s="31">
        <f>SUMIFS(LinkFromRateBase!$J:$J,LinkFromRateBase!$E:$E,K$5,LinkFromRateBase!$F:$F,$D70)</f>
        <v>0</v>
      </c>
      <c r="L70" s="31">
        <f>SUMIFS(LinkFromRateBase!$J:$J,LinkFromRateBase!$E:$E,L$5,LinkFromRateBase!$F:$F,$D70)</f>
        <v>0</v>
      </c>
      <c r="M70" s="31">
        <f>SUMIFS(LinkFromRateBase!$J:$J,LinkFromRateBase!$E:$E,M$5,LinkFromRateBase!$F:$F,$D70)</f>
        <v>0</v>
      </c>
      <c r="N70" s="31">
        <f>SUMIFS(LinkFromRateBase!$J:$J,LinkFromRateBase!$E:$E,N$5,LinkFromRateBase!$F:$F,$D70)</f>
        <v>0</v>
      </c>
      <c r="O70" s="31">
        <f>SUMIFS(LinkFromRateBase!$J:$J,LinkFromRateBase!$E:$E,O$5,LinkFromRateBase!$F:$F,$D70)</f>
        <v>0</v>
      </c>
      <c r="P70" s="31">
        <f>SUMIFS(LinkFromRateBase!$J:$J,LinkFromRateBase!$E:$E,P$5,LinkFromRateBase!$F:$F,$D70)</f>
        <v>0</v>
      </c>
      <c r="Q70" s="31">
        <f>SUMIFS(LinkFromRateBase!$J:$J,LinkFromRateBase!$E:$E,Q$5,LinkFromRateBase!$F:$F,$D70)</f>
        <v>0</v>
      </c>
      <c r="R70" s="31">
        <f>SUMIFS(LinkFromRateBase!$J:$J,LinkFromRateBase!$E:$E,R$5,LinkFromRateBase!$F:$F,$D70)</f>
        <v>0</v>
      </c>
      <c r="S70" s="31">
        <f>SUMIFS(LinkFromRateBase!$J:$J,LinkFromRateBase!$E:$E,S$5,LinkFromRateBase!$F:$F,$D70)</f>
        <v>0</v>
      </c>
      <c r="T70" s="31">
        <f>SUMIFS(LinkFromRateBase!$J:$J,LinkFromRateBase!$E:$E,T$5,LinkFromRateBase!$F:$F,$D70)</f>
        <v>0</v>
      </c>
      <c r="U70" s="31">
        <f>SUMIFS(LinkFromRateBase!$J:$J,LinkFromRateBase!$E:$E,U$5,LinkFromRateBase!$F:$F,$D70)</f>
        <v>456526.5</v>
      </c>
      <c r="V70" s="31"/>
    </row>
    <row r="71" spans="2:22" x14ac:dyDescent="0.25">
      <c r="B71" s="229" t="s">
        <v>7240</v>
      </c>
      <c r="D71" s="15" t="s">
        <v>8063</v>
      </c>
      <c r="F71" s="31">
        <f t="shared" si="10"/>
        <v>0</v>
      </c>
      <c r="H71" s="31">
        <f>SUMIFS(LinkFromRateBase!$J:$J,LinkFromRateBase!$E:$E,H$5,LinkFromRateBase!$F:$F,$D71)</f>
        <v>0</v>
      </c>
      <c r="I71" s="31">
        <f>SUMIFS(LinkFromRateBase!$J:$J,LinkFromRateBase!$E:$E,I$5,LinkFromRateBase!$F:$F,$D71)</f>
        <v>0</v>
      </c>
      <c r="J71" s="31">
        <f>SUMIFS(LinkFromRateBase!$J:$J,LinkFromRateBase!$E:$E,J$5,LinkFromRateBase!$F:$F,$D71)</f>
        <v>0</v>
      </c>
      <c r="K71" s="31">
        <f>SUMIFS(LinkFromRateBase!$J:$J,LinkFromRateBase!$E:$E,K$5,LinkFromRateBase!$F:$F,$D71)</f>
        <v>0</v>
      </c>
      <c r="L71" s="31">
        <f>SUMIFS(LinkFromRateBase!$J:$J,LinkFromRateBase!$E:$E,L$5,LinkFromRateBase!$F:$F,$D71)</f>
        <v>0</v>
      </c>
      <c r="M71" s="31">
        <f>SUMIFS(LinkFromRateBase!$J:$J,LinkFromRateBase!$E:$E,M$5,LinkFromRateBase!$F:$F,$D71)</f>
        <v>0</v>
      </c>
      <c r="N71" s="31">
        <f>SUMIFS(LinkFromRateBase!$J:$J,LinkFromRateBase!$E:$E,N$5,LinkFromRateBase!$F:$F,$D71)</f>
        <v>0</v>
      </c>
      <c r="O71" s="31">
        <f>SUMIFS(LinkFromRateBase!$J:$J,LinkFromRateBase!$E:$E,O$5,LinkFromRateBase!$F:$F,$D71)</f>
        <v>0</v>
      </c>
      <c r="P71" s="31">
        <f>SUMIFS(LinkFromRateBase!$J:$J,LinkFromRateBase!$E:$E,P$5,LinkFromRateBase!$F:$F,$D71)</f>
        <v>0</v>
      </c>
      <c r="Q71" s="31">
        <f>SUMIFS(LinkFromRateBase!$J:$J,LinkFromRateBase!$E:$E,Q$5,LinkFromRateBase!$F:$F,$D71)</f>
        <v>0</v>
      </c>
      <c r="R71" s="31">
        <f>SUMIFS(LinkFromRateBase!$J:$J,LinkFromRateBase!$E:$E,R$5,LinkFromRateBase!$F:$F,$D71)</f>
        <v>0</v>
      </c>
      <c r="S71" s="31">
        <f>SUMIFS(LinkFromRateBase!$J:$J,LinkFromRateBase!$E:$E,S$5,LinkFromRateBase!$F:$F,$D71)</f>
        <v>0</v>
      </c>
      <c r="T71" s="31">
        <f>SUMIFS(LinkFromRateBase!$J:$J,LinkFromRateBase!$E:$E,T$5,LinkFromRateBase!$F:$F,$D71)</f>
        <v>0</v>
      </c>
      <c r="U71" s="31">
        <f>SUMIFS(LinkFromRateBase!$J:$J,LinkFromRateBase!$E:$E,U$5,LinkFromRateBase!$F:$F,$D71)</f>
        <v>0</v>
      </c>
      <c r="V71" s="31"/>
    </row>
    <row r="72" spans="2:22" x14ac:dyDescent="0.25">
      <c r="B72" s="229" t="s">
        <v>7248</v>
      </c>
      <c r="D72" s="15" t="s">
        <v>8065</v>
      </c>
      <c r="F72" s="31">
        <f t="shared" si="10"/>
        <v>231771</v>
      </c>
      <c r="H72" s="31">
        <f>SUMIFS(LinkFromRateBase!$J:$J,LinkFromRateBase!$E:$E,H$5,LinkFromRateBase!$F:$F,$D72)</f>
        <v>0</v>
      </c>
      <c r="I72" s="31">
        <f>SUMIFS(LinkFromRateBase!$J:$J,LinkFromRateBase!$E:$E,I$5,LinkFromRateBase!$F:$F,$D72)</f>
        <v>0</v>
      </c>
      <c r="J72" s="31">
        <f>SUMIFS(LinkFromRateBase!$J:$J,LinkFromRateBase!$E:$E,J$5,LinkFromRateBase!$F:$F,$D72)</f>
        <v>0</v>
      </c>
      <c r="K72" s="31">
        <f>SUMIFS(LinkFromRateBase!$J:$J,LinkFromRateBase!$E:$E,K$5,LinkFromRateBase!$F:$F,$D72)</f>
        <v>0</v>
      </c>
      <c r="L72" s="31">
        <f>SUMIFS(LinkFromRateBase!$J:$J,LinkFromRateBase!$E:$E,L$5,LinkFromRateBase!$F:$F,$D72)</f>
        <v>0</v>
      </c>
      <c r="M72" s="31">
        <f>SUMIFS(LinkFromRateBase!$J:$J,LinkFromRateBase!$E:$E,M$5,LinkFromRateBase!$F:$F,$D72)</f>
        <v>0</v>
      </c>
      <c r="N72" s="31">
        <f>SUMIFS(LinkFromRateBase!$J:$J,LinkFromRateBase!$E:$E,N$5,LinkFromRateBase!$F:$F,$D72)</f>
        <v>0</v>
      </c>
      <c r="O72" s="31">
        <f>SUMIFS(LinkFromRateBase!$J:$J,LinkFromRateBase!$E:$E,O$5,LinkFromRateBase!$F:$F,$D72)</f>
        <v>0</v>
      </c>
      <c r="P72" s="31">
        <f>SUMIFS(LinkFromRateBase!$J:$J,LinkFromRateBase!$E:$E,P$5,LinkFromRateBase!$F:$F,$D72)</f>
        <v>0</v>
      </c>
      <c r="Q72" s="31">
        <f>SUMIFS(LinkFromRateBase!$J:$J,LinkFromRateBase!$E:$E,Q$5,LinkFromRateBase!$F:$F,$D72)</f>
        <v>0</v>
      </c>
      <c r="R72" s="31">
        <f>SUMIFS(LinkFromRateBase!$J:$J,LinkFromRateBase!$E:$E,R$5,LinkFromRateBase!$F:$F,$D72)</f>
        <v>0</v>
      </c>
      <c r="S72" s="31">
        <f>SUMIFS(LinkFromRateBase!$J:$J,LinkFromRateBase!$E:$E,S$5,LinkFromRateBase!$F:$F,$D72)</f>
        <v>0</v>
      </c>
      <c r="T72" s="31">
        <f>SUMIFS(LinkFromRateBase!$J:$J,LinkFromRateBase!$E:$E,T$5,LinkFromRateBase!$F:$F,$D72)</f>
        <v>0</v>
      </c>
      <c r="U72" s="31">
        <f>SUMIFS(LinkFromRateBase!$J:$J,LinkFromRateBase!$E:$E,U$5,LinkFromRateBase!$F:$F,$D72)</f>
        <v>231771</v>
      </c>
      <c r="V72" s="31"/>
    </row>
    <row r="73" spans="2:22" x14ac:dyDescent="0.25">
      <c r="B73" s="229" t="s">
        <v>7248</v>
      </c>
      <c r="D73" s="15" t="s">
        <v>8067</v>
      </c>
      <c r="F73" s="31">
        <f t="shared" si="10"/>
        <v>2101495</v>
      </c>
      <c r="H73" s="31">
        <f>SUMIFS(LinkFromRateBase!$J:$J,LinkFromRateBase!$E:$E,H$5,LinkFromRateBase!$F:$F,$D73)</f>
        <v>0</v>
      </c>
      <c r="I73" s="31">
        <f>SUMIFS(LinkFromRateBase!$J:$J,LinkFromRateBase!$E:$E,I$5,LinkFromRateBase!$F:$F,$D73)</f>
        <v>0</v>
      </c>
      <c r="J73" s="31">
        <f>SUMIFS(LinkFromRateBase!$J:$J,LinkFromRateBase!$E:$E,J$5,LinkFromRateBase!$F:$F,$D73)</f>
        <v>0</v>
      </c>
      <c r="K73" s="31">
        <f>SUMIFS(LinkFromRateBase!$J:$J,LinkFromRateBase!$E:$E,K$5,LinkFromRateBase!$F:$F,$D73)</f>
        <v>0</v>
      </c>
      <c r="L73" s="31">
        <f>SUMIFS(LinkFromRateBase!$J:$J,LinkFromRateBase!$E:$E,L$5,LinkFromRateBase!$F:$F,$D73)</f>
        <v>0</v>
      </c>
      <c r="M73" s="31">
        <f>SUMIFS(LinkFromRateBase!$J:$J,LinkFromRateBase!$E:$E,M$5,LinkFromRateBase!$F:$F,$D73)</f>
        <v>0</v>
      </c>
      <c r="N73" s="31">
        <f>SUMIFS(LinkFromRateBase!$J:$J,LinkFromRateBase!$E:$E,N$5,LinkFromRateBase!$F:$F,$D73)</f>
        <v>0</v>
      </c>
      <c r="O73" s="31">
        <f>SUMIFS(LinkFromRateBase!$J:$J,LinkFromRateBase!$E:$E,O$5,LinkFromRateBase!$F:$F,$D73)</f>
        <v>0</v>
      </c>
      <c r="P73" s="31">
        <f>SUMIFS(LinkFromRateBase!$J:$J,LinkFromRateBase!$E:$E,P$5,LinkFromRateBase!$F:$F,$D73)</f>
        <v>0</v>
      </c>
      <c r="Q73" s="31">
        <f>SUMIFS(LinkFromRateBase!$J:$J,LinkFromRateBase!$E:$E,Q$5,LinkFromRateBase!$F:$F,$D73)</f>
        <v>0</v>
      </c>
      <c r="R73" s="31">
        <f>SUMIFS(LinkFromRateBase!$J:$J,LinkFromRateBase!$E:$E,R$5,LinkFromRateBase!$F:$F,$D73)</f>
        <v>0</v>
      </c>
      <c r="S73" s="31">
        <f>SUMIFS(LinkFromRateBase!$J:$J,LinkFromRateBase!$E:$E,S$5,LinkFromRateBase!$F:$F,$D73)</f>
        <v>0</v>
      </c>
      <c r="T73" s="31">
        <f>SUMIFS(LinkFromRateBase!$J:$J,LinkFromRateBase!$E:$E,T$5,LinkFromRateBase!$F:$F,$D73)</f>
        <v>0</v>
      </c>
      <c r="U73" s="31">
        <f>SUMIFS(LinkFromRateBase!$J:$J,LinkFromRateBase!$E:$E,U$5,LinkFromRateBase!$F:$F,$D73)</f>
        <v>2101495</v>
      </c>
      <c r="V73" s="31"/>
    </row>
    <row r="74" spans="2:22" x14ac:dyDescent="0.25">
      <c r="B74" s="229" t="s">
        <v>7248</v>
      </c>
      <c r="D74" s="15" t="s">
        <v>8069</v>
      </c>
      <c r="F74" s="31">
        <f t="shared" si="10"/>
        <v>2809586</v>
      </c>
      <c r="H74" s="31">
        <f>SUMIFS(LinkFromRateBase!$J:$J,LinkFromRateBase!$E:$E,H$5,LinkFromRateBase!$F:$F,$D74)</f>
        <v>0</v>
      </c>
      <c r="I74" s="31">
        <f>SUMIFS(LinkFromRateBase!$J:$J,LinkFromRateBase!$E:$E,I$5,LinkFromRateBase!$F:$F,$D74)</f>
        <v>0</v>
      </c>
      <c r="J74" s="31">
        <f>SUMIFS(LinkFromRateBase!$J:$J,LinkFromRateBase!$E:$E,J$5,LinkFromRateBase!$F:$F,$D74)</f>
        <v>0</v>
      </c>
      <c r="K74" s="31">
        <f>SUMIFS(LinkFromRateBase!$J:$J,LinkFromRateBase!$E:$E,K$5,LinkFromRateBase!$F:$F,$D74)</f>
        <v>0</v>
      </c>
      <c r="L74" s="31">
        <f>SUMIFS(LinkFromRateBase!$J:$J,LinkFromRateBase!$E:$E,L$5,LinkFromRateBase!$F:$F,$D74)</f>
        <v>0</v>
      </c>
      <c r="M74" s="31">
        <f>SUMIFS(LinkFromRateBase!$J:$J,LinkFromRateBase!$E:$E,M$5,LinkFromRateBase!$F:$F,$D74)</f>
        <v>0</v>
      </c>
      <c r="N74" s="31">
        <f>SUMIFS(LinkFromRateBase!$J:$J,LinkFromRateBase!$E:$E,N$5,LinkFromRateBase!$F:$F,$D74)</f>
        <v>0</v>
      </c>
      <c r="O74" s="31">
        <f>SUMIFS(LinkFromRateBase!$J:$J,LinkFromRateBase!$E:$E,O$5,LinkFromRateBase!$F:$F,$D74)</f>
        <v>0</v>
      </c>
      <c r="P74" s="31">
        <f>SUMIFS(LinkFromRateBase!$J:$J,LinkFromRateBase!$E:$E,P$5,LinkFromRateBase!$F:$F,$D74)</f>
        <v>0</v>
      </c>
      <c r="Q74" s="31">
        <f>SUMIFS(LinkFromRateBase!$J:$J,LinkFromRateBase!$E:$E,Q$5,LinkFromRateBase!$F:$F,$D74)</f>
        <v>0</v>
      </c>
      <c r="R74" s="31">
        <f>SUMIFS(LinkFromRateBase!$J:$J,LinkFromRateBase!$E:$E,R$5,LinkFromRateBase!$F:$F,$D74)</f>
        <v>0</v>
      </c>
      <c r="S74" s="31">
        <f>SUMIFS(LinkFromRateBase!$J:$J,LinkFromRateBase!$E:$E,S$5,LinkFromRateBase!$F:$F,$D74)</f>
        <v>0</v>
      </c>
      <c r="T74" s="31">
        <f>SUMIFS(LinkFromRateBase!$J:$J,LinkFromRateBase!$E:$E,T$5,LinkFromRateBase!$F:$F,$D74)</f>
        <v>0</v>
      </c>
      <c r="U74" s="31">
        <f>SUMIFS(LinkFromRateBase!$J:$J,LinkFromRateBase!$E:$E,U$5,LinkFromRateBase!$F:$F,$D74)</f>
        <v>2809586</v>
      </c>
      <c r="V74" s="31"/>
    </row>
    <row r="75" spans="2:22" x14ac:dyDescent="0.25">
      <c r="B75" s="229" t="s">
        <v>7248</v>
      </c>
      <c r="D75" s="15" t="s">
        <v>8071</v>
      </c>
      <c r="F75" s="31">
        <f t="shared" si="10"/>
        <v>0</v>
      </c>
      <c r="H75" s="31">
        <f>SUMIFS(LinkFromRateBase!$J:$J,LinkFromRateBase!$E:$E,H$5,LinkFromRateBase!$F:$F,$D75)</f>
        <v>0</v>
      </c>
      <c r="I75" s="31">
        <f>SUMIFS(LinkFromRateBase!$J:$J,LinkFromRateBase!$E:$E,I$5,LinkFromRateBase!$F:$F,$D75)</f>
        <v>0</v>
      </c>
      <c r="J75" s="31">
        <f>SUMIFS(LinkFromRateBase!$J:$J,LinkFromRateBase!$E:$E,J$5,LinkFromRateBase!$F:$F,$D75)</f>
        <v>0</v>
      </c>
      <c r="K75" s="31">
        <f>SUMIFS(LinkFromRateBase!$J:$J,LinkFromRateBase!$E:$E,K$5,LinkFromRateBase!$F:$F,$D75)</f>
        <v>0</v>
      </c>
      <c r="L75" s="31">
        <f>SUMIFS(LinkFromRateBase!$J:$J,LinkFromRateBase!$E:$E,L$5,LinkFromRateBase!$F:$F,$D75)</f>
        <v>0</v>
      </c>
      <c r="M75" s="31">
        <f>SUMIFS(LinkFromRateBase!$J:$J,LinkFromRateBase!$E:$E,M$5,LinkFromRateBase!$F:$F,$D75)</f>
        <v>0</v>
      </c>
      <c r="N75" s="31">
        <f>SUMIFS(LinkFromRateBase!$J:$J,LinkFromRateBase!$E:$E,N$5,LinkFromRateBase!$F:$F,$D75)</f>
        <v>0</v>
      </c>
      <c r="O75" s="31">
        <f>SUMIFS(LinkFromRateBase!$J:$J,LinkFromRateBase!$E:$E,O$5,LinkFromRateBase!$F:$F,$D75)</f>
        <v>0</v>
      </c>
      <c r="P75" s="31">
        <f>SUMIFS(LinkFromRateBase!$J:$J,LinkFromRateBase!$E:$E,P$5,LinkFromRateBase!$F:$F,$D75)</f>
        <v>0</v>
      </c>
      <c r="Q75" s="31">
        <f>SUMIFS(LinkFromRateBase!$J:$J,LinkFromRateBase!$E:$E,Q$5,LinkFromRateBase!$F:$F,$D75)</f>
        <v>0</v>
      </c>
      <c r="R75" s="31">
        <f>SUMIFS(LinkFromRateBase!$J:$J,LinkFromRateBase!$E:$E,R$5,LinkFromRateBase!$F:$F,$D75)</f>
        <v>0</v>
      </c>
      <c r="S75" s="31">
        <f>SUMIFS(LinkFromRateBase!$J:$J,LinkFromRateBase!$E:$E,S$5,LinkFromRateBase!$F:$F,$D75)</f>
        <v>0</v>
      </c>
      <c r="T75" s="31">
        <f>SUMIFS(LinkFromRateBase!$J:$J,LinkFromRateBase!$E:$E,T$5,LinkFromRateBase!$F:$F,$D75)</f>
        <v>0</v>
      </c>
      <c r="U75" s="31">
        <f>SUMIFS(LinkFromRateBase!$J:$J,LinkFromRateBase!$E:$E,U$5,LinkFromRateBase!$F:$F,$D75)</f>
        <v>0</v>
      </c>
      <c r="V75" s="31"/>
    </row>
    <row r="76" spans="2:22" x14ac:dyDescent="0.25">
      <c r="B76" s="229" t="s">
        <v>7248</v>
      </c>
      <c r="D76" s="15" t="s">
        <v>8073</v>
      </c>
      <c r="F76" s="31">
        <f t="shared" si="10"/>
        <v>0</v>
      </c>
      <c r="H76" s="31">
        <f>SUMIFS(LinkFromRateBase!$J:$J,LinkFromRateBase!$E:$E,H$5,LinkFromRateBase!$F:$F,$D76)</f>
        <v>0</v>
      </c>
      <c r="I76" s="31">
        <f>SUMIFS(LinkFromRateBase!$J:$J,LinkFromRateBase!$E:$E,I$5,LinkFromRateBase!$F:$F,$D76)</f>
        <v>0</v>
      </c>
      <c r="J76" s="31">
        <f>SUMIFS(LinkFromRateBase!$J:$J,LinkFromRateBase!$E:$E,J$5,LinkFromRateBase!$F:$F,$D76)</f>
        <v>0</v>
      </c>
      <c r="K76" s="31">
        <f>SUMIFS(LinkFromRateBase!$J:$J,LinkFromRateBase!$E:$E,K$5,LinkFromRateBase!$F:$F,$D76)</f>
        <v>0</v>
      </c>
      <c r="L76" s="31">
        <f>SUMIFS(LinkFromRateBase!$J:$J,LinkFromRateBase!$E:$E,L$5,LinkFromRateBase!$F:$F,$D76)</f>
        <v>0</v>
      </c>
      <c r="M76" s="31">
        <f>SUMIFS(LinkFromRateBase!$J:$J,LinkFromRateBase!$E:$E,M$5,LinkFromRateBase!$F:$F,$D76)</f>
        <v>0</v>
      </c>
      <c r="N76" s="31">
        <f>SUMIFS(LinkFromRateBase!$J:$J,LinkFromRateBase!$E:$E,N$5,LinkFromRateBase!$F:$F,$D76)</f>
        <v>0</v>
      </c>
      <c r="O76" s="31">
        <f>SUMIFS(LinkFromRateBase!$J:$J,LinkFromRateBase!$E:$E,O$5,LinkFromRateBase!$F:$F,$D76)</f>
        <v>0</v>
      </c>
      <c r="P76" s="31">
        <f>SUMIFS(LinkFromRateBase!$J:$J,LinkFromRateBase!$E:$E,P$5,LinkFromRateBase!$F:$F,$D76)</f>
        <v>0</v>
      </c>
      <c r="Q76" s="31">
        <f>SUMIFS(LinkFromRateBase!$J:$J,LinkFromRateBase!$E:$E,Q$5,LinkFromRateBase!$F:$F,$D76)</f>
        <v>0</v>
      </c>
      <c r="R76" s="31">
        <f>SUMIFS(LinkFromRateBase!$J:$J,LinkFromRateBase!$E:$E,R$5,LinkFromRateBase!$F:$F,$D76)</f>
        <v>0</v>
      </c>
      <c r="S76" s="31">
        <f>SUMIFS(LinkFromRateBase!$J:$J,LinkFromRateBase!$E:$E,S$5,LinkFromRateBase!$F:$F,$D76)</f>
        <v>0</v>
      </c>
      <c r="T76" s="31">
        <f>SUMIFS(LinkFromRateBase!$J:$J,LinkFromRateBase!$E:$E,T$5,LinkFromRateBase!$F:$F,$D76)</f>
        <v>0</v>
      </c>
      <c r="U76" s="31">
        <f>SUMIFS(LinkFromRateBase!$J:$J,LinkFromRateBase!$E:$E,U$5,LinkFromRateBase!$F:$F,$D76)</f>
        <v>0</v>
      </c>
      <c r="V76" s="31"/>
    </row>
    <row r="77" spans="2:22" x14ac:dyDescent="0.25">
      <c r="B77" s="229" t="s">
        <v>7248</v>
      </c>
      <c r="D77" s="15" t="s">
        <v>8075</v>
      </c>
      <c r="F77" s="31">
        <f t="shared" si="10"/>
        <v>394531.5</v>
      </c>
      <c r="H77" s="31">
        <f>SUMIFS(LinkFromRateBase!$J:$J,LinkFromRateBase!$E:$E,H$5,LinkFromRateBase!$F:$F,$D77)</f>
        <v>0</v>
      </c>
      <c r="I77" s="31">
        <f>SUMIFS(LinkFromRateBase!$J:$J,LinkFromRateBase!$E:$E,I$5,LinkFromRateBase!$F:$F,$D77)</f>
        <v>0</v>
      </c>
      <c r="J77" s="31">
        <f>SUMIFS(LinkFromRateBase!$J:$J,LinkFromRateBase!$E:$E,J$5,LinkFromRateBase!$F:$F,$D77)</f>
        <v>0</v>
      </c>
      <c r="K77" s="31">
        <f>SUMIFS(LinkFromRateBase!$J:$J,LinkFromRateBase!$E:$E,K$5,LinkFromRateBase!$F:$F,$D77)</f>
        <v>0</v>
      </c>
      <c r="L77" s="31">
        <f>SUMIFS(LinkFromRateBase!$J:$J,LinkFromRateBase!$E:$E,L$5,LinkFromRateBase!$F:$F,$D77)</f>
        <v>0</v>
      </c>
      <c r="M77" s="31">
        <f>SUMIFS(LinkFromRateBase!$J:$J,LinkFromRateBase!$E:$E,M$5,LinkFromRateBase!$F:$F,$D77)</f>
        <v>0</v>
      </c>
      <c r="N77" s="31">
        <f>SUMIFS(LinkFromRateBase!$J:$J,LinkFromRateBase!$E:$E,N$5,LinkFromRateBase!$F:$F,$D77)</f>
        <v>0</v>
      </c>
      <c r="O77" s="31">
        <f>SUMIFS(LinkFromRateBase!$J:$J,LinkFromRateBase!$E:$E,O$5,LinkFromRateBase!$F:$F,$D77)</f>
        <v>0</v>
      </c>
      <c r="P77" s="31">
        <f>SUMIFS(LinkFromRateBase!$J:$J,LinkFromRateBase!$E:$E,P$5,LinkFromRateBase!$F:$F,$D77)</f>
        <v>0</v>
      </c>
      <c r="Q77" s="31">
        <f>SUMIFS(LinkFromRateBase!$J:$J,LinkFromRateBase!$E:$E,Q$5,LinkFromRateBase!$F:$F,$D77)</f>
        <v>0</v>
      </c>
      <c r="R77" s="31">
        <f>SUMIFS(LinkFromRateBase!$J:$J,LinkFromRateBase!$E:$E,R$5,LinkFromRateBase!$F:$F,$D77)</f>
        <v>0</v>
      </c>
      <c r="S77" s="31">
        <f>SUMIFS(LinkFromRateBase!$J:$J,LinkFromRateBase!$E:$E,S$5,LinkFromRateBase!$F:$F,$D77)</f>
        <v>0</v>
      </c>
      <c r="T77" s="31">
        <f>SUMIFS(LinkFromRateBase!$J:$J,LinkFromRateBase!$E:$E,T$5,LinkFromRateBase!$F:$F,$D77)</f>
        <v>0</v>
      </c>
      <c r="U77" s="31">
        <f>SUMIFS(LinkFromRateBase!$J:$J,LinkFromRateBase!$E:$E,U$5,LinkFromRateBase!$F:$F,$D77)</f>
        <v>394531.5</v>
      </c>
      <c r="V77" s="31"/>
    </row>
    <row r="78" spans="2:22" x14ac:dyDescent="0.25">
      <c r="B78" s="229" t="s">
        <v>7248</v>
      </c>
      <c r="D78" s="15" t="s">
        <v>8077</v>
      </c>
      <c r="F78" s="31">
        <f t="shared" si="10"/>
        <v>-135103.5</v>
      </c>
      <c r="H78" s="31">
        <f>SUMIFS(LinkFromRateBase!$J:$J,LinkFromRateBase!$E:$E,H$5,LinkFromRateBase!$F:$F,$D78)</f>
        <v>0</v>
      </c>
      <c r="I78" s="31">
        <f>SUMIFS(LinkFromRateBase!$J:$J,LinkFromRateBase!$E:$E,I$5,LinkFromRateBase!$F:$F,$D78)</f>
        <v>0</v>
      </c>
      <c r="J78" s="31">
        <f>SUMIFS(LinkFromRateBase!$J:$J,LinkFromRateBase!$E:$E,J$5,LinkFromRateBase!$F:$F,$D78)</f>
        <v>0</v>
      </c>
      <c r="K78" s="31">
        <f>SUMIFS(LinkFromRateBase!$J:$J,LinkFromRateBase!$E:$E,K$5,LinkFromRateBase!$F:$F,$D78)</f>
        <v>0</v>
      </c>
      <c r="L78" s="31">
        <f>SUMIFS(LinkFromRateBase!$J:$J,LinkFromRateBase!$E:$E,L$5,LinkFromRateBase!$F:$F,$D78)</f>
        <v>0</v>
      </c>
      <c r="M78" s="31">
        <f>SUMIFS(LinkFromRateBase!$J:$J,LinkFromRateBase!$E:$E,M$5,LinkFromRateBase!$F:$F,$D78)</f>
        <v>0</v>
      </c>
      <c r="N78" s="31">
        <f>SUMIFS(LinkFromRateBase!$J:$J,LinkFromRateBase!$E:$E,N$5,LinkFromRateBase!$F:$F,$D78)</f>
        <v>0</v>
      </c>
      <c r="O78" s="31">
        <f>SUMIFS(LinkFromRateBase!$J:$J,LinkFromRateBase!$E:$E,O$5,LinkFromRateBase!$F:$F,$D78)</f>
        <v>0</v>
      </c>
      <c r="P78" s="31">
        <f>SUMIFS(LinkFromRateBase!$J:$J,LinkFromRateBase!$E:$E,P$5,LinkFromRateBase!$F:$F,$D78)</f>
        <v>0</v>
      </c>
      <c r="Q78" s="31">
        <f>SUMIFS(LinkFromRateBase!$J:$J,LinkFromRateBase!$E:$E,Q$5,LinkFromRateBase!$F:$F,$D78)</f>
        <v>0</v>
      </c>
      <c r="R78" s="31">
        <f>SUMIFS(LinkFromRateBase!$J:$J,LinkFromRateBase!$E:$E,R$5,LinkFromRateBase!$F:$F,$D78)</f>
        <v>0</v>
      </c>
      <c r="S78" s="31">
        <f>SUMIFS(LinkFromRateBase!$J:$J,LinkFromRateBase!$E:$E,S$5,LinkFromRateBase!$F:$F,$D78)</f>
        <v>0</v>
      </c>
      <c r="T78" s="31">
        <f>SUMIFS(LinkFromRateBase!$J:$J,LinkFromRateBase!$E:$E,T$5,LinkFromRateBase!$F:$F,$D78)</f>
        <v>0</v>
      </c>
      <c r="U78" s="31">
        <f>SUMIFS(LinkFromRateBase!$J:$J,LinkFromRateBase!$E:$E,U$5,LinkFromRateBase!$F:$F,$D78)</f>
        <v>-135103.5</v>
      </c>
      <c r="V78" s="31"/>
    </row>
    <row r="79" spans="2:22" x14ac:dyDescent="0.25">
      <c r="B79" s="229" t="s">
        <v>7248</v>
      </c>
      <c r="D79" s="15" t="s">
        <v>8079</v>
      </c>
      <c r="F79" s="31">
        <f t="shared" si="10"/>
        <v>349454.5</v>
      </c>
      <c r="H79" s="31">
        <f>SUMIFS(LinkFromRateBase!$J:$J,LinkFromRateBase!$E:$E,H$5,LinkFromRateBase!$F:$F,$D79)</f>
        <v>0</v>
      </c>
      <c r="I79" s="31">
        <f>SUMIFS(LinkFromRateBase!$J:$J,LinkFromRateBase!$E:$E,I$5,LinkFromRateBase!$F:$F,$D79)</f>
        <v>0</v>
      </c>
      <c r="J79" s="31">
        <f>SUMIFS(LinkFromRateBase!$J:$J,LinkFromRateBase!$E:$E,J$5,LinkFromRateBase!$F:$F,$D79)</f>
        <v>0</v>
      </c>
      <c r="K79" s="31">
        <f>SUMIFS(LinkFromRateBase!$J:$J,LinkFromRateBase!$E:$E,K$5,LinkFromRateBase!$F:$F,$D79)</f>
        <v>0</v>
      </c>
      <c r="L79" s="31">
        <f>SUMIFS(LinkFromRateBase!$J:$J,LinkFromRateBase!$E:$E,L$5,LinkFromRateBase!$F:$F,$D79)</f>
        <v>0</v>
      </c>
      <c r="M79" s="31">
        <f>SUMIFS(LinkFromRateBase!$J:$J,LinkFromRateBase!$E:$E,M$5,LinkFromRateBase!$F:$F,$D79)</f>
        <v>0</v>
      </c>
      <c r="N79" s="31">
        <f>SUMIFS(LinkFromRateBase!$J:$J,LinkFromRateBase!$E:$E,N$5,LinkFromRateBase!$F:$F,$D79)</f>
        <v>0</v>
      </c>
      <c r="O79" s="31">
        <f>SUMIFS(LinkFromRateBase!$J:$J,LinkFromRateBase!$E:$E,O$5,LinkFromRateBase!$F:$F,$D79)</f>
        <v>0</v>
      </c>
      <c r="P79" s="31">
        <f>SUMIFS(LinkFromRateBase!$J:$J,LinkFromRateBase!$E:$E,P$5,LinkFromRateBase!$F:$F,$D79)</f>
        <v>0</v>
      </c>
      <c r="Q79" s="31">
        <f>SUMIFS(LinkFromRateBase!$J:$J,LinkFromRateBase!$E:$E,Q$5,LinkFromRateBase!$F:$F,$D79)</f>
        <v>0</v>
      </c>
      <c r="R79" s="31">
        <f>SUMIFS(LinkFromRateBase!$J:$J,LinkFromRateBase!$E:$E,R$5,LinkFromRateBase!$F:$F,$D79)</f>
        <v>0</v>
      </c>
      <c r="S79" s="31">
        <f>SUMIFS(LinkFromRateBase!$J:$J,LinkFromRateBase!$E:$E,S$5,LinkFromRateBase!$F:$F,$D79)</f>
        <v>0</v>
      </c>
      <c r="T79" s="31">
        <f>SUMIFS(LinkFromRateBase!$J:$J,LinkFromRateBase!$E:$E,T$5,LinkFromRateBase!$F:$F,$D79)</f>
        <v>0</v>
      </c>
      <c r="U79" s="31">
        <f>SUMIFS(LinkFromRateBase!$J:$J,LinkFromRateBase!$E:$E,U$5,LinkFromRateBase!$F:$F,$D79)</f>
        <v>349454.5</v>
      </c>
      <c r="V79" s="31"/>
    </row>
    <row r="80" spans="2:22" x14ac:dyDescent="0.25">
      <c r="B80" s="229" t="s">
        <v>7250</v>
      </c>
      <c r="D80" s="15" t="s">
        <v>8081</v>
      </c>
      <c r="F80" s="31">
        <f t="shared" si="10"/>
        <v>2072242.5</v>
      </c>
      <c r="H80" s="31">
        <f>SUMIFS(LinkFromRateBase!$J:$J,LinkFromRateBase!$E:$E,H$5,LinkFromRateBase!$F:$F,$D80)</f>
        <v>0</v>
      </c>
      <c r="I80" s="31">
        <f>SUMIFS(LinkFromRateBase!$J:$J,LinkFromRateBase!$E:$E,I$5,LinkFromRateBase!$F:$F,$D80)</f>
        <v>0</v>
      </c>
      <c r="J80" s="31">
        <f>SUMIFS(LinkFromRateBase!$J:$J,LinkFromRateBase!$E:$E,J$5,LinkFromRateBase!$F:$F,$D80)</f>
        <v>0</v>
      </c>
      <c r="K80" s="31">
        <f>SUMIFS(LinkFromRateBase!$J:$J,LinkFromRateBase!$E:$E,K$5,LinkFromRateBase!$F:$F,$D80)</f>
        <v>0</v>
      </c>
      <c r="L80" s="31">
        <f>SUMIFS(LinkFromRateBase!$J:$J,LinkFromRateBase!$E:$E,L$5,LinkFromRateBase!$F:$F,$D80)</f>
        <v>0</v>
      </c>
      <c r="M80" s="31">
        <f>SUMIFS(LinkFromRateBase!$J:$J,LinkFromRateBase!$E:$E,M$5,LinkFromRateBase!$F:$F,$D80)</f>
        <v>0</v>
      </c>
      <c r="N80" s="31">
        <f>SUMIFS(LinkFromRateBase!$J:$J,LinkFromRateBase!$E:$E,N$5,LinkFromRateBase!$F:$F,$D80)</f>
        <v>0</v>
      </c>
      <c r="O80" s="31">
        <f>SUMIFS(LinkFromRateBase!$J:$J,LinkFromRateBase!$E:$E,O$5,LinkFromRateBase!$F:$F,$D80)</f>
        <v>0</v>
      </c>
      <c r="P80" s="31">
        <f>SUMIFS(LinkFromRateBase!$J:$J,LinkFromRateBase!$E:$E,P$5,LinkFromRateBase!$F:$F,$D80)</f>
        <v>0</v>
      </c>
      <c r="Q80" s="31">
        <f>SUMIFS(LinkFromRateBase!$J:$J,LinkFromRateBase!$E:$E,Q$5,LinkFromRateBase!$F:$F,$D80)</f>
        <v>0</v>
      </c>
      <c r="R80" s="31">
        <f>SUMIFS(LinkFromRateBase!$J:$J,LinkFromRateBase!$E:$E,R$5,LinkFromRateBase!$F:$F,$D80)</f>
        <v>0</v>
      </c>
      <c r="S80" s="31">
        <f>SUMIFS(LinkFromRateBase!$J:$J,LinkFromRateBase!$E:$E,S$5,LinkFromRateBase!$F:$F,$D80)</f>
        <v>0</v>
      </c>
      <c r="T80" s="31">
        <f>SUMIFS(LinkFromRateBase!$J:$J,LinkFromRateBase!$E:$E,T$5,LinkFromRateBase!$F:$F,$D80)</f>
        <v>0</v>
      </c>
      <c r="U80" s="31">
        <f>SUMIFS(LinkFromRateBase!$J:$J,LinkFromRateBase!$E:$E,U$5,LinkFromRateBase!$F:$F,$D80)</f>
        <v>2072242.5</v>
      </c>
      <c r="V80" s="31"/>
    </row>
    <row r="81" spans="2:22" x14ac:dyDescent="0.25">
      <c r="B81" s="229" t="s">
        <v>7250</v>
      </c>
      <c r="D81" s="15" t="s">
        <v>8083</v>
      </c>
      <c r="F81" s="31">
        <f t="shared" si="10"/>
        <v>250616</v>
      </c>
      <c r="H81" s="31">
        <f>SUMIFS(LinkFromRateBase!$J:$J,LinkFromRateBase!$E:$E,H$5,LinkFromRateBase!$F:$F,$D81)</f>
        <v>0</v>
      </c>
      <c r="I81" s="31">
        <f>SUMIFS(LinkFromRateBase!$J:$J,LinkFromRateBase!$E:$E,I$5,LinkFromRateBase!$F:$F,$D81)</f>
        <v>0</v>
      </c>
      <c r="J81" s="31">
        <f>SUMIFS(LinkFromRateBase!$J:$J,LinkFromRateBase!$E:$E,J$5,LinkFromRateBase!$F:$F,$D81)</f>
        <v>0</v>
      </c>
      <c r="K81" s="31">
        <f>SUMIFS(LinkFromRateBase!$J:$J,LinkFromRateBase!$E:$E,K$5,LinkFromRateBase!$F:$F,$D81)</f>
        <v>0</v>
      </c>
      <c r="L81" s="31">
        <f>SUMIFS(LinkFromRateBase!$J:$J,LinkFromRateBase!$E:$E,L$5,LinkFromRateBase!$F:$F,$D81)</f>
        <v>0</v>
      </c>
      <c r="M81" s="31">
        <f>SUMIFS(LinkFromRateBase!$J:$J,LinkFromRateBase!$E:$E,M$5,LinkFromRateBase!$F:$F,$D81)</f>
        <v>0</v>
      </c>
      <c r="N81" s="31">
        <f>SUMIFS(LinkFromRateBase!$J:$J,LinkFromRateBase!$E:$E,N$5,LinkFromRateBase!$F:$F,$D81)</f>
        <v>0</v>
      </c>
      <c r="O81" s="31">
        <f>SUMIFS(LinkFromRateBase!$J:$J,LinkFromRateBase!$E:$E,O$5,LinkFromRateBase!$F:$F,$D81)</f>
        <v>0</v>
      </c>
      <c r="P81" s="31">
        <f>SUMIFS(LinkFromRateBase!$J:$J,LinkFromRateBase!$E:$E,P$5,LinkFromRateBase!$F:$F,$D81)</f>
        <v>0</v>
      </c>
      <c r="Q81" s="31">
        <f>SUMIFS(LinkFromRateBase!$J:$J,LinkFromRateBase!$E:$E,Q$5,LinkFromRateBase!$F:$F,$D81)</f>
        <v>0</v>
      </c>
      <c r="R81" s="31">
        <f>SUMIFS(LinkFromRateBase!$J:$J,LinkFromRateBase!$E:$E,R$5,LinkFromRateBase!$F:$F,$D81)</f>
        <v>0</v>
      </c>
      <c r="S81" s="31">
        <f>SUMIFS(LinkFromRateBase!$J:$J,LinkFromRateBase!$E:$E,S$5,LinkFromRateBase!$F:$F,$D81)</f>
        <v>0</v>
      </c>
      <c r="T81" s="31">
        <f>SUMIFS(LinkFromRateBase!$J:$J,LinkFromRateBase!$E:$E,T$5,LinkFromRateBase!$F:$F,$D81)</f>
        <v>0</v>
      </c>
      <c r="U81" s="31">
        <f>SUMIFS(LinkFromRateBase!$J:$J,LinkFromRateBase!$E:$E,U$5,LinkFromRateBase!$F:$F,$D81)</f>
        <v>250616</v>
      </c>
      <c r="V81" s="31"/>
    </row>
    <row r="82" spans="2:22" x14ac:dyDescent="0.25">
      <c r="B82" s="229" t="s">
        <v>7250</v>
      </c>
      <c r="D82" s="15" t="s">
        <v>8085</v>
      </c>
      <c r="F82" s="31">
        <f t="shared" si="10"/>
        <v>-4601</v>
      </c>
      <c r="H82" s="31">
        <f>SUMIFS(LinkFromRateBase!$J:$J,LinkFromRateBase!$E:$E,H$5,LinkFromRateBase!$F:$F,$D82)</f>
        <v>0</v>
      </c>
      <c r="I82" s="31">
        <f>SUMIFS(LinkFromRateBase!$J:$J,LinkFromRateBase!$E:$E,I$5,LinkFromRateBase!$F:$F,$D82)</f>
        <v>0</v>
      </c>
      <c r="J82" s="31">
        <f>SUMIFS(LinkFromRateBase!$J:$J,LinkFromRateBase!$E:$E,J$5,LinkFromRateBase!$F:$F,$D82)</f>
        <v>0</v>
      </c>
      <c r="K82" s="31">
        <f>SUMIFS(LinkFromRateBase!$J:$J,LinkFromRateBase!$E:$E,K$5,LinkFromRateBase!$F:$F,$D82)</f>
        <v>0</v>
      </c>
      <c r="L82" s="31">
        <f>SUMIFS(LinkFromRateBase!$J:$J,LinkFromRateBase!$E:$E,L$5,LinkFromRateBase!$F:$F,$D82)</f>
        <v>0</v>
      </c>
      <c r="M82" s="31">
        <f>SUMIFS(LinkFromRateBase!$J:$J,LinkFromRateBase!$E:$E,M$5,LinkFromRateBase!$F:$F,$D82)</f>
        <v>0</v>
      </c>
      <c r="N82" s="31">
        <f>SUMIFS(LinkFromRateBase!$J:$J,LinkFromRateBase!$E:$E,N$5,LinkFromRateBase!$F:$F,$D82)</f>
        <v>0</v>
      </c>
      <c r="O82" s="31">
        <f>SUMIFS(LinkFromRateBase!$J:$J,LinkFromRateBase!$E:$E,O$5,LinkFromRateBase!$F:$F,$D82)</f>
        <v>0</v>
      </c>
      <c r="P82" s="31">
        <f>SUMIFS(LinkFromRateBase!$J:$J,LinkFromRateBase!$E:$E,P$5,LinkFromRateBase!$F:$F,$D82)</f>
        <v>0</v>
      </c>
      <c r="Q82" s="31">
        <f>SUMIFS(LinkFromRateBase!$J:$J,LinkFromRateBase!$E:$E,Q$5,LinkFromRateBase!$F:$F,$D82)</f>
        <v>0</v>
      </c>
      <c r="R82" s="31">
        <f>SUMIFS(LinkFromRateBase!$J:$J,LinkFromRateBase!$E:$E,R$5,LinkFromRateBase!$F:$F,$D82)</f>
        <v>0</v>
      </c>
      <c r="S82" s="31">
        <f>SUMIFS(LinkFromRateBase!$J:$J,LinkFromRateBase!$E:$E,S$5,LinkFromRateBase!$F:$F,$D82)</f>
        <v>0</v>
      </c>
      <c r="T82" s="31">
        <f>SUMIFS(LinkFromRateBase!$J:$J,LinkFromRateBase!$E:$E,T$5,LinkFromRateBase!$F:$F,$D82)</f>
        <v>0</v>
      </c>
      <c r="U82" s="31">
        <f>SUMIFS(LinkFromRateBase!$J:$J,LinkFromRateBase!$E:$E,U$5,LinkFromRateBase!$F:$F,$D82)</f>
        <v>-4601</v>
      </c>
      <c r="V82" s="31"/>
    </row>
    <row r="83" spans="2:22" x14ac:dyDescent="0.25">
      <c r="B83" s="229" t="s">
        <v>7250</v>
      </c>
      <c r="D83" s="15" t="s">
        <v>8087</v>
      </c>
      <c r="F83" s="31">
        <f t="shared" si="10"/>
        <v>-15215.5</v>
      </c>
      <c r="H83" s="31">
        <f>SUMIFS(LinkFromRateBase!$J:$J,LinkFromRateBase!$E:$E,H$5,LinkFromRateBase!$F:$F,$D83)</f>
        <v>0</v>
      </c>
      <c r="I83" s="31">
        <f>SUMIFS(LinkFromRateBase!$J:$J,LinkFromRateBase!$E:$E,I$5,LinkFromRateBase!$F:$F,$D83)</f>
        <v>0</v>
      </c>
      <c r="J83" s="31">
        <f>SUMIFS(LinkFromRateBase!$J:$J,LinkFromRateBase!$E:$E,J$5,LinkFromRateBase!$F:$F,$D83)</f>
        <v>0</v>
      </c>
      <c r="K83" s="31">
        <f>SUMIFS(LinkFromRateBase!$J:$J,LinkFromRateBase!$E:$E,K$5,LinkFromRateBase!$F:$F,$D83)</f>
        <v>0</v>
      </c>
      <c r="L83" s="31">
        <f>SUMIFS(LinkFromRateBase!$J:$J,LinkFromRateBase!$E:$E,L$5,LinkFromRateBase!$F:$F,$D83)</f>
        <v>0</v>
      </c>
      <c r="M83" s="31">
        <f>SUMIFS(LinkFromRateBase!$J:$J,LinkFromRateBase!$E:$E,M$5,LinkFromRateBase!$F:$F,$D83)</f>
        <v>0</v>
      </c>
      <c r="N83" s="31">
        <f>SUMIFS(LinkFromRateBase!$J:$J,LinkFromRateBase!$E:$E,N$5,LinkFromRateBase!$F:$F,$D83)</f>
        <v>0</v>
      </c>
      <c r="O83" s="31">
        <f>SUMIFS(LinkFromRateBase!$J:$J,LinkFromRateBase!$E:$E,O$5,LinkFromRateBase!$F:$F,$D83)</f>
        <v>0</v>
      </c>
      <c r="P83" s="31">
        <f>SUMIFS(LinkFromRateBase!$J:$J,LinkFromRateBase!$E:$E,P$5,LinkFromRateBase!$F:$F,$D83)</f>
        <v>0</v>
      </c>
      <c r="Q83" s="31">
        <f>SUMIFS(LinkFromRateBase!$J:$J,LinkFromRateBase!$E:$E,Q$5,LinkFromRateBase!$F:$F,$D83)</f>
        <v>0</v>
      </c>
      <c r="R83" s="31">
        <f>SUMIFS(LinkFromRateBase!$J:$J,LinkFromRateBase!$E:$E,R$5,LinkFromRateBase!$F:$F,$D83)</f>
        <v>0</v>
      </c>
      <c r="S83" s="31">
        <f>SUMIFS(LinkFromRateBase!$J:$J,LinkFromRateBase!$E:$E,S$5,LinkFromRateBase!$F:$F,$D83)</f>
        <v>0</v>
      </c>
      <c r="T83" s="31">
        <f>SUMIFS(LinkFromRateBase!$J:$J,LinkFromRateBase!$E:$E,T$5,LinkFromRateBase!$F:$F,$D83)</f>
        <v>0</v>
      </c>
      <c r="U83" s="31">
        <f>SUMIFS(LinkFromRateBase!$J:$J,LinkFromRateBase!$E:$E,U$5,LinkFromRateBase!$F:$F,$D83)</f>
        <v>-15215.5</v>
      </c>
      <c r="V83" s="31"/>
    </row>
    <row r="84" spans="2:22" x14ac:dyDescent="0.25">
      <c r="B84" s="229" t="s">
        <v>7251</v>
      </c>
      <c r="D84" s="15" t="s">
        <v>8089</v>
      </c>
      <c r="F84" s="31">
        <f t="shared" si="10"/>
        <v>19089.5</v>
      </c>
      <c r="H84" s="31">
        <f>SUMIFS(LinkFromRateBase!$J:$J,LinkFromRateBase!$E:$E,H$5,LinkFromRateBase!$F:$F,$D84)</f>
        <v>0</v>
      </c>
      <c r="I84" s="31">
        <f>SUMIFS(LinkFromRateBase!$J:$J,LinkFromRateBase!$E:$E,I$5,LinkFromRateBase!$F:$F,$D84)</f>
        <v>0</v>
      </c>
      <c r="J84" s="31">
        <f>SUMIFS(LinkFromRateBase!$J:$J,LinkFromRateBase!$E:$E,J$5,LinkFromRateBase!$F:$F,$D84)</f>
        <v>0</v>
      </c>
      <c r="K84" s="31">
        <f>SUMIFS(LinkFromRateBase!$J:$J,LinkFromRateBase!$E:$E,K$5,LinkFromRateBase!$F:$F,$D84)</f>
        <v>0</v>
      </c>
      <c r="L84" s="31">
        <f>SUMIFS(LinkFromRateBase!$J:$J,LinkFromRateBase!$E:$E,L$5,LinkFromRateBase!$F:$F,$D84)</f>
        <v>0</v>
      </c>
      <c r="M84" s="31">
        <f>SUMIFS(LinkFromRateBase!$J:$J,LinkFromRateBase!$E:$E,M$5,LinkFromRateBase!$F:$F,$D84)</f>
        <v>0</v>
      </c>
      <c r="N84" s="31">
        <f>SUMIFS(LinkFromRateBase!$J:$J,LinkFromRateBase!$E:$E,N$5,LinkFromRateBase!$F:$F,$D84)</f>
        <v>0</v>
      </c>
      <c r="O84" s="31">
        <f>SUMIFS(LinkFromRateBase!$J:$J,LinkFromRateBase!$E:$E,O$5,LinkFromRateBase!$F:$F,$D84)</f>
        <v>0</v>
      </c>
      <c r="P84" s="31">
        <f>SUMIFS(LinkFromRateBase!$J:$J,LinkFromRateBase!$E:$E,P$5,LinkFromRateBase!$F:$F,$D84)</f>
        <v>0</v>
      </c>
      <c r="Q84" s="31">
        <f>SUMIFS(LinkFromRateBase!$J:$J,LinkFromRateBase!$E:$E,Q$5,LinkFromRateBase!$F:$F,$D84)</f>
        <v>0</v>
      </c>
      <c r="R84" s="31">
        <f>SUMIFS(LinkFromRateBase!$J:$J,LinkFromRateBase!$E:$E,R$5,LinkFromRateBase!$F:$F,$D84)</f>
        <v>0</v>
      </c>
      <c r="S84" s="31">
        <f>SUMIFS(LinkFromRateBase!$J:$J,LinkFromRateBase!$E:$E,S$5,LinkFromRateBase!$F:$F,$D84)</f>
        <v>0</v>
      </c>
      <c r="T84" s="31">
        <f>SUMIFS(LinkFromRateBase!$J:$J,LinkFromRateBase!$E:$E,T$5,LinkFromRateBase!$F:$F,$D84)</f>
        <v>0</v>
      </c>
      <c r="U84" s="31">
        <f>SUMIFS(LinkFromRateBase!$J:$J,LinkFromRateBase!$E:$E,U$5,LinkFromRateBase!$F:$F,$D84)</f>
        <v>19089.5</v>
      </c>
      <c r="V84" s="31"/>
    </row>
    <row r="85" spans="2:22" x14ac:dyDescent="0.25">
      <c r="B85" s="229" t="s">
        <v>7253</v>
      </c>
      <c r="D85" s="15" t="s">
        <v>8091</v>
      </c>
      <c r="F85" s="31">
        <f t="shared" si="10"/>
        <v>678922</v>
      </c>
      <c r="H85" s="31">
        <f>SUMIFS(LinkFromRateBase!$J:$J,LinkFromRateBase!$E:$E,H$5,LinkFromRateBase!$F:$F,$D85)</f>
        <v>0</v>
      </c>
      <c r="I85" s="31">
        <f>SUMIFS(LinkFromRateBase!$J:$J,LinkFromRateBase!$E:$E,I$5,LinkFromRateBase!$F:$F,$D85)</f>
        <v>0</v>
      </c>
      <c r="J85" s="31">
        <f>SUMIFS(LinkFromRateBase!$J:$J,LinkFromRateBase!$E:$E,J$5,LinkFromRateBase!$F:$F,$D85)</f>
        <v>0</v>
      </c>
      <c r="K85" s="31">
        <f>SUMIFS(LinkFromRateBase!$J:$J,LinkFromRateBase!$E:$E,K$5,LinkFromRateBase!$F:$F,$D85)</f>
        <v>0</v>
      </c>
      <c r="L85" s="31">
        <f>SUMIFS(LinkFromRateBase!$J:$J,LinkFromRateBase!$E:$E,L$5,LinkFromRateBase!$F:$F,$D85)</f>
        <v>0</v>
      </c>
      <c r="M85" s="31">
        <f>SUMIFS(LinkFromRateBase!$J:$J,LinkFromRateBase!$E:$E,M$5,LinkFromRateBase!$F:$F,$D85)</f>
        <v>0</v>
      </c>
      <c r="N85" s="31">
        <f>SUMIFS(LinkFromRateBase!$J:$J,LinkFromRateBase!$E:$E,N$5,LinkFromRateBase!$F:$F,$D85)</f>
        <v>0</v>
      </c>
      <c r="O85" s="31">
        <f>SUMIFS(LinkFromRateBase!$J:$J,LinkFromRateBase!$E:$E,O$5,LinkFromRateBase!$F:$F,$D85)</f>
        <v>0</v>
      </c>
      <c r="P85" s="31">
        <f>SUMIFS(LinkFromRateBase!$J:$J,LinkFromRateBase!$E:$E,P$5,LinkFromRateBase!$F:$F,$D85)</f>
        <v>0</v>
      </c>
      <c r="Q85" s="31">
        <f>SUMIFS(LinkFromRateBase!$J:$J,LinkFromRateBase!$E:$E,Q$5,LinkFromRateBase!$F:$F,$D85)</f>
        <v>0</v>
      </c>
      <c r="R85" s="31">
        <f>SUMIFS(LinkFromRateBase!$J:$J,LinkFromRateBase!$E:$E,R$5,LinkFromRateBase!$F:$F,$D85)</f>
        <v>0</v>
      </c>
      <c r="S85" s="31">
        <f>SUMIFS(LinkFromRateBase!$J:$J,LinkFromRateBase!$E:$E,S$5,LinkFromRateBase!$F:$F,$D85)</f>
        <v>0</v>
      </c>
      <c r="T85" s="31">
        <f>SUMIFS(LinkFromRateBase!$J:$J,LinkFromRateBase!$E:$E,T$5,LinkFromRateBase!$F:$F,$D85)</f>
        <v>0</v>
      </c>
      <c r="U85" s="31">
        <f>SUMIFS(LinkFromRateBase!$J:$J,LinkFromRateBase!$E:$E,U$5,LinkFromRateBase!$F:$F,$D85)</f>
        <v>678922</v>
      </c>
      <c r="V85" s="31"/>
    </row>
    <row r="86" spans="2:22" x14ac:dyDescent="0.25">
      <c r="B86" s="229" t="s">
        <v>7254</v>
      </c>
      <c r="D86" s="15" t="s">
        <v>8093</v>
      </c>
      <c r="F86" s="31">
        <f t="shared" si="10"/>
        <v>99597</v>
      </c>
      <c r="H86" s="31">
        <f>SUMIFS(LinkFromRateBase!$J:$J,LinkFromRateBase!$E:$E,H$5,LinkFromRateBase!$F:$F,$D86)</f>
        <v>0</v>
      </c>
      <c r="I86" s="31">
        <f>SUMIFS(LinkFromRateBase!$J:$J,LinkFromRateBase!$E:$E,I$5,LinkFromRateBase!$F:$F,$D86)</f>
        <v>0</v>
      </c>
      <c r="J86" s="31">
        <f>SUMIFS(LinkFromRateBase!$J:$J,LinkFromRateBase!$E:$E,J$5,LinkFromRateBase!$F:$F,$D86)</f>
        <v>0</v>
      </c>
      <c r="K86" s="31">
        <f>SUMIFS(LinkFromRateBase!$J:$J,LinkFromRateBase!$E:$E,K$5,LinkFromRateBase!$F:$F,$D86)</f>
        <v>0</v>
      </c>
      <c r="L86" s="31">
        <f>SUMIFS(LinkFromRateBase!$J:$J,LinkFromRateBase!$E:$E,L$5,LinkFromRateBase!$F:$F,$D86)</f>
        <v>0</v>
      </c>
      <c r="M86" s="31">
        <f>SUMIFS(LinkFromRateBase!$J:$J,LinkFromRateBase!$E:$E,M$5,LinkFromRateBase!$F:$F,$D86)</f>
        <v>0</v>
      </c>
      <c r="N86" s="31">
        <f>SUMIFS(LinkFromRateBase!$J:$J,LinkFromRateBase!$E:$E,N$5,LinkFromRateBase!$F:$F,$D86)</f>
        <v>0</v>
      </c>
      <c r="O86" s="31">
        <f>SUMIFS(LinkFromRateBase!$J:$J,LinkFromRateBase!$E:$E,O$5,LinkFromRateBase!$F:$F,$D86)</f>
        <v>0</v>
      </c>
      <c r="P86" s="31">
        <f>SUMIFS(LinkFromRateBase!$J:$J,LinkFromRateBase!$E:$E,P$5,LinkFromRateBase!$F:$F,$D86)</f>
        <v>0</v>
      </c>
      <c r="Q86" s="31">
        <f>SUMIFS(LinkFromRateBase!$J:$J,LinkFromRateBase!$E:$E,Q$5,LinkFromRateBase!$F:$F,$D86)</f>
        <v>0</v>
      </c>
      <c r="R86" s="31">
        <f>SUMIFS(LinkFromRateBase!$J:$J,LinkFromRateBase!$E:$E,R$5,LinkFromRateBase!$F:$F,$D86)</f>
        <v>0</v>
      </c>
      <c r="S86" s="31">
        <f>SUMIFS(LinkFromRateBase!$J:$J,LinkFromRateBase!$E:$E,S$5,LinkFromRateBase!$F:$F,$D86)</f>
        <v>0</v>
      </c>
      <c r="T86" s="31">
        <f>SUMIFS(LinkFromRateBase!$J:$J,LinkFromRateBase!$E:$E,T$5,LinkFromRateBase!$F:$F,$D86)</f>
        <v>0</v>
      </c>
      <c r="U86" s="31">
        <f>SUMIFS(LinkFromRateBase!$J:$J,LinkFromRateBase!$E:$E,U$5,LinkFromRateBase!$F:$F,$D86)</f>
        <v>99597</v>
      </c>
      <c r="V86" s="31"/>
    </row>
    <row r="87" spans="2:22" x14ac:dyDescent="0.25">
      <c r="B87" s="229" t="s">
        <v>7255</v>
      </c>
      <c r="D87" s="15" t="s">
        <v>8095</v>
      </c>
      <c r="F87" s="31">
        <f t="shared" si="10"/>
        <v>74187.5</v>
      </c>
      <c r="H87" s="31">
        <f>SUMIFS(LinkFromRateBase!$J:$J,LinkFromRateBase!$E:$E,H$5,LinkFromRateBase!$F:$F,$D87)</f>
        <v>0</v>
      </c>
      <c r="I87" s="31">
        <f>SUMIFS(LinkFromRateBase!$J:$J,LinkFromRateBase!$E:$E,I$5,LinkFromRateBase!$F:$F,$D87)</f>
        <v>0</v>
      </c>
      <c r="J87" s="31">
        <f>SUMIFS(LinkFromRateBase!$J:$J,LinkFromRateBase!$E:$E,J$5,LinkFromRateBase!$F:$F,$D87)</f>
        <v>0</v>
      </c>
      <c r="K87" s="31">
        <f>SUMIFS(LinkFromRateBase!$J:$J,LinkFromRateBase!$E:$E,K$5,LinkFromRateBase!$F:$F,$D87)</f>
        <v>0</v>
      </c>
      <c r="L87" s="31">
        <f>SUMIFS(LinkFromRateBase!$J:$J,LinkFromRateBase!$E:$E,L$5,LinkFromRateBase!$F:$F,$D87)</f>
        <v>0</v>
      </c>
      <c r="M87" s="31">
        <f>SUMIFS(LinkFromRateBase!$J:$J,LinkFromRateBase!$E:$E,M$5,LinkFromRateBase!$F:$F,$D87)</f>
        <v>0</v>
      </c>
      <c r="N87" s="31">
        <f>SUMIFS(LinkFromRateBase!$J:$J,LinkFromRateBase!$E:$E,N$5,LinkFromRateBase!$F:$F,$D87)</f>
        <v>0</v>
      </c>
      <c r="O87" s="31">
        <f>SUMIFS(LinkFromRateBase!$J:$J,LinkFromRateBase!$E:$E,O$5,LinkFromRateBase!$F:$F,$D87)</f>
        <v>0</v>
      </c>
      <c r="P87" s="31">
        <f>SUMIFS(LinkFromRateBase!$J:$J,LinkFromRateBase!$E:$E,P$5,LinkFromRateBase!$F:$F,$D87)</f>
        <v>0</v>
      </c>
      <c r="Q87" s="31">
        <f>SUMIFS(LinkFromRateBase!$J:$J,LinkFromRateBase!$E:$E,Q$5,LinkFromRateBase!$F:$F,$D87)</f>
        <v>0</v>
      </c>
      <c r="R87" s="31">
        <f>SUMIFS(LinkFromRateBase!$J:$J,LinkFromRateBase!$E:$E,R$5,LinkFromRateBase!$F:$F,$D87)</f>
        <v>0</v>
      </c>
      <c r="S87" s="31">
        <f>SUMIFS(LinkFromRateBase!$J:$J,LinkFromRateBase!$E:$E,S$5,LinkFromRateBase!$F:$F,$D87)</f>
        <v>0</v>
      </c>
      <c r="T87" s="31">
        <f>SUMIFS(LinkFromRateBase!$J:$J,LinkFromRateBase!$E:$E,T$5,LinkFromRateBase!$F:$F,$D87)</f>
        <v>0</v>
      </c>
      <c r="U87" s="31">
        <f>SUMIFS(LinkFromRateBase!$J:$J,LinkFromRateBase!$E:$E,U$5,LinkFromRateBase!$F:$F,$D87)</f>
        <v>74187.5</v>
      </c>
      <c r="V87" s="31"/>
    </row>
    <row r="88" spans="2:22" x14ac:dyDescent="0.25">
      <c r="B88" s="229" t="s">
        <v>7257</v>
      </c>
      <c r="D88" s="15" t="s">
        <v>8097</v>
      </c>
      <c r="F88" s="31">
        <f t="shared" si="10"/>
        <v>105790.5</v>
      </c>
      <c r="H88" s="31">
        <f>SUMIFS(LinkFromRateBase!$J:$J,LinkFromRateBase!$E:$E,H$5,LinkFromRateBase!$F:$F,$D88)</f>
        <v>0</v>
      </c>
      <c r="I88" s="31">
        <f>SUMIFS(LinkFromRateBase!$J:$J,LinkFromRateBase!$E:$E,I$5,LinkFromRateBase!$F:$F,$D88)</f>
        <v>0</v>
      </c>
      <c r="J88" s="31">
        <f>SUMIFS(LinkFromRateBase!$J:$J,LinkFromRateBase!$E:$E,J$5,LinkFromRateBase!$F:$F,$D88)</f>
        <v>0</v>
      </c>
      <c r="K88" s="31">
        <f>SUMIFS(LinkFromRateBase!$J:$J,LinkFromRateBase!$E:$E,K$5,LinkFromRateBase!$F:$F,$D88)</f>
        <v>0</v>
      </c>
      <c r="L88" s="31">
        <f>SUMIFS(LinkFromRateBase!$J:$J,LinkFromRateBase!$E:$E,L$5,LinkFromRateBase!$F:$F,$D88)</f>
        <v>0</v>
      </c>
      <c r="M88" s="31">
        <f>SUMIFS(LinkFromRateBase!$J:$J,LinkFromRateBase!$E:$E,M$5,LinkFromRateBase!$F:$F,$D88)</f>
        <v>0</v>
      </c>
      <c r="N88" s="31">
        <f>SUMIFS(LinkFromRateBase!$J:$J,LinkFromRateBase!$E:$E,N$5,LinkFromRateBase!$F:$F,$D88)</f>
        <v>0</v>
      </c>
      <c r="O88" s="31">
        <f>SUMIFS(LinkFromRateBase!$J:$J,LinkFromRateBase!$E:$E,O$5,LinkFromRateBase!$F:$F,$D88)</f>
        <v>0</v>
      </c>
      <c r="P88" s="31">
        <f>SUMIFS(LinkFromRateBase!$J:$J,LinkFromRateBase!$E:$E,P$5,LinkFromRateBase!$F:$F,$D88)</f>
        <v>0</v>
      </c>
      <c r="Q88" s="31">
        <f>SUMIFS(LinkFromRateBase!$J:$J,LinkFromRateBase!$E:$E,Q$5,LinkFromRateBase!$F:$F,$D88)</f>
        <v>0</v>
      </c>
      <c r="R88" s="31">
        <f>SUMIFS(LinkFromRateBase!$J:$J,LinkFromRateBase!$E:$E,R$5,LinkFromRateBase!$F:$F,$D88)</f>
        <v>0</v>
      </c>
      <c r="S88" s="31">
        <f>SUMIFS(LinkFromRateBase!$J:$J,LinkFromRateBase!$E:$E,S$5,LinkFromRateBase!$F:$F,$D88)</f>
        <v>0</v>
      </c>
      <c r="T88" s="31">
        <f>SUMIFS(LinkFromRateBase!$J:$J,LinkFromRateBase!$E:$E,T$5,LinkFromRateBase!$F:$F,$D88)</f>
        <v>0</v>
      </c>
      <c r="U88" s="31">
        <f>SUMIFS(LinkFromRateBase!$J:$J,LinkFromRateBase!$E:$E,U$5,LinkFromRateBase!$F:$F,$D88)</f>
        <v>105790.5</v>
      </c>
      <c r="V88" s="31"/>
    </row>
    <row r="89" spans="2:22" x14ac:dyDescent="0.25">
      <c r="B89" s="229" t="s">
        <v>7257</v>
      </c>
      <c r="D89" s="15" t="s">
        <v>8099</v>
      </c>
      <c r="F89" s="31">
        <f t="shared" si="10"/>
        <v>1036159</v>
      </c>
      <c r="H89" s="31">
        <f>SUMIFS(LinkFromRateBase!$J:$J,LinkFromRateBase!$E:$E,H$5,LinkFromRateBase!$F:$F,$D89)</f>
        <v>0</v>
      </c>
      <c r="I89" s="31">
        <f>SUMIFS(LinkFromRateBase!$J:$J,LinkFromRateBase!$E:$E,I$5,LinkFromRateBase!$F:$F,$D89)</f>
        <v>0</v>
      </c>
      <c r="J89" s="31">
        <f>SUMIFS(LinkFromRateBase!$J:$J,LinkFromRateBase!$E:$E,J$5,LinkFromRateBase!$F:$F,$D89)</f>
        <v>0</v>
      </c>
      <c r="K89" s="31">
        <f>SUMIFS(LinkFromRateBase!$J:$J,LinkFromRateBase!$E:$E,K$5,LinkFromRateBase!$F:$F,$D89)</f>
        <v>0</v>
      </c>
      <c r="L89" s="31">
        <f>SUMIFS(LinkFromRateBase!$J:$J,LinkFromRateBase!$E:$E,L$5,LinkFromRateBase!$F:$F,$D89)</f>
        <v>0</v>
      </c>
      <c r="M89" s="31">
        <f>SUMIFS(LinkFromRateBase!$J:$J,LinkFromRateBase!$E:$E,M$5,LinkFromRateBase!$F:$F,$D89)</f>
        <v>0</v>
      </c>
      <c r="N89" s="31">
        <f>SUMIFS(LinkFromRateBase!$J:$J,LinkFromRateBase!$E:$E,N$5,LinkFromRateBase!$F:$F,$D89)</f>
        <v>0</v>
      </c>
      <c r="O89" s="31">
        <f>SUMIFS(LinkFromRateBase!$J:$J,LinkFromRateBase!$E:$E,O$5,LinkFromRateBase!$F:$F,$D89)</f>
        <v>0</v>
      </c>
      <c r="P89" s="31">
        <f>SUMIFS(LinkFromRateBase!$J:$J,LinkFromRateBase!$E:$E,P$5,LinkFromRateBase!$F:$F,$D89)</f>
        <v>0</v>
      </c>
      <c r="Q89" s="31">
        <f>SUMIFS(LinkFromRateBase!$J:$J,LinkFromRateBase!$E:$E,Q$5,LinkFromRateBase!$F:$F,$D89)</f>
        <v>0</v>
      </c>
      <c r="R89" s="31">
        <f>SUMIFS(LinkFromRateBase!$J:$J,LinkFromRateBase!$E:$E,R$5,LinkFromRateBase!$F:$F,$D89)</f>
        <v>0</v>
      </c>
      <c r="S89" s="31">
        <f>SUMIFS(LinkFromRateBase!$J:$J,LinkFromRateBase!$E:$E,S$5,LinkFromRateBase!$F:$F,$D89)</f>
        <v>0</v>
      </c>
      <c r="T89" s="31">
        <f>SUMIFS(LinkFromRateBase!$J:$J,LinkFromRateBase!$E:$E,T$5,LinkFromRateBase!$F:$F,$D89)</f>
        <v>0</v>
      </c>
      <c r="U89" s="31">
        <f>SUMIFS(LinkFromRateBase!$J:$J,LinkFromRateBase!$E:$E,U$5,LinkFromRateBase!$F:$F,$D89)</f>
        <v>1036159</v>
      </c>
      <c r="V89" s="31"/>
    </row>
    <row r="90" spans="2:22" x14ac:dyDescent="0.25">
      <c r="B90" s="229" t="s">
        <v>7257</v>
      </c>
      <c r="D90" s="15" t="s">
        <v>8101</v>
      </c>
      <c r="F90" s="31">
        <f t="shared" si="10"/>
        <v>9406</v>
      </c>
      <c r="H90" s="31">
        <f>SUMIFS(LinkFromRateBase!$J:$J,LinkFromRateBase!$E:$E,H$5,LinkFromRateBase!$F:$F,$D90)</f>
        <v>0</v>
      </c>
      <c r="I90" s="31">
        <f>SUMIFS(LinkFromRateBase!$J:$J,LinkFromRateBase!$E:$E,I$5,LinkFromRateBase!$F:$F,$D90)</f>
        <v>0</v>
      </c>
      <c r="J90" s="31">
        <f>SUMIFS(LinkFromRateBase!$J:$J,LinkFromRateBase!$E:$E,J$5,LinkFromRateBase!$F:$F,$D90)</f>
        <v>0</v>
      </c>
      <c r="K90" s="31">
        <f>SUMIFS(LinkFromRateBase!$J:$J,LinkFromRateBase!$E:$E,K$5,LinkFromRateBase!$F:$F,$D90)</f>
        <v>0</v>
      </c>
      <c r="L90" s="31">
        <f>SUMIFS(LinkFromRateBase!$J:$J,LinkFromRateBase!$E:$E,L$5,LinkFromRateBase!$F:$F,$D90)</f>
        <v>0</v>
      </c>
      <c r="M90" s="31">
        <f>SUMIFS(LinkFromRateBase!$J:$J,LinkFromRateBase!$E:$E,M$5,LinkFromRateBase!$F:$F,$D90)</f>
        <v>0</v>
      </c>
      <c r="N90" s="31">
        <f>SUMIFS(LinkFromRateBase!$J:$J,LinkFromRateBase!$E:$E,N$5,LinkFromRateBase!$F:$F,$D90)</f>
        <v>0</v>
      </c>
      <c r="O90" s="31">
        <f>SUMIFS(LinkFromRateBase!$J:$J,LinkFromRateBase!$E:$E,O$5,LinkFromRateBase!$F:$F,$D90)</f>
        <v>0</v>
      </c>
      <c r="P90" s="31">
        <f>SUMIFS(LinkFromRateBase!$J:$J,LinkFromRateBase!$E:$E,P$5,LinkFromRateBase!$F:$F,$D90)</f>
        <v>0</v>
      </c>
      <c r="Q90" s="31">
        <f>SUMIFS(LinkFromRateBase!$J:$J,LinkFromRateBase!$E:$E,Q$5,LinkFromRateBase!$F:$F,$D90)</f>
        <v>0</v>
      </c>
      <c r="R90" s="31">
        <f>SUMIFS(LinkFromRateBase!$J:$J,LinkFromRateBase!$E:$E,R$5,LinkFromRateBase!$F:$F,$D90)</f>
        <v>0</v>
      </c>
      <c r="S90" s="31">
        <f>SUMIFS(LinkFromRateBase!$J:$J,LinkFromRateBase!$E:$E,S$5,LinkFromRateBase!$F:$F,$D90)</f>
        <v>0</v>
      </c>
      <c r="T90" s="31">
        <f>SUMIFS(LinkFromRateBase!$J:$J,LinkFromRateBase!$E:$E,T$5,LinkFromRateBase!$F:$F,$D90)</f>
        <v>0</v>
      </c>
      <c r="U90" s="31">
        <f>SUMIFS(LinkFromRateBase!$J:$J,LinkFromRateBase!$E:$E,U$5,LinkFromRateBase!$F:$F,$D90)</f>
        <v>9406</v>
      </c>
      <c r="V90" s="31"/>
    </row>
    <row r="91" spans="2:22" x14ac:dyDescent="0.25">
      <c r="B91" s="229" t="s">
        <v>7258</v>
      </c>
      <c r="D91" s="15" t="s">
        <v>8103</v>
      </c>
      <c r="F91" s="31">
        <f t="shared" si="10"/>
        <v>1093309.5</v>
      </c>
      <c r="H91" s="31">
        <f>SUMIFS(LinkFromRateBase!$J:$J,LinkFromRateBase!$E:$E,H$5,LinkFromRateBase!$F:$F,$D91)</f>
        <v>0</v>
      </c>
      <c r="I91" s="31">
        <f>SUMIFS(LinkFromRateBase!$J:$J,LinkFromRateBase!$E:$E,I$5,LinkFromRateBase!$F:$F,$D91)</f>
        <v>0</v>
      </c>
      <c r="J91" s="31">
        <f>SUMIFS(LinkFromRateBase!$J:$J,LinkFromRateBase!$E:$E,J$5,LinkFromRateBase!$F:$F,$D91)</f>
        <v>0</v>
      </c>
      <c r="K91" s="31">
        <f>SUMIFS(LinkFromRateBase!$J:$J,LinkFromRateBase!$E:$E,K$5,LinkFromRateBase!$F:$F,$D91)</f>
        <v>0</v>
      </c>
      <c r="L91" s="31">
        <f>SUMIFS(LinkFromRateBase!$J:$J,LinkFromRateBase!$E:$E,L$5,LinkFromRateBase!$F:$F,$D91)</f>
        <v>0</v>
      </c>
      <c r="M91" s="31">
        <f>SUMIFS(LinkFromRateBase!$J:$J,LinkFromRateBase!$E:$E,M$5,LinkFromRateBase!$F:$F,$D91)</f>
        <v>0</v>
      </c>
      <c r="N91" s="31">
        <f>SUMIFS(LinkFromRateBase!$J:$J,LinkFromRateBase!$E:$E,N$5,LinkFromRateBase!$F:$F,$D91)</f>
        <v>0</v>
      </c>
      <c r="O91" s="31">
        <f>SUMIFS(LinkFromRateBase!$J:$J,LinkFromRateBase!$E:$E,O$5,LinkFromRateBase!$F:$F,$D91)</f>
        <v>0</v>
      </c>
      <c r="P91" s="31">
        <f>SUMIFS(LinkFromRateBase!$J:$J,LinkFromRateBase!$E:$E,P$5,LinkFromRateBase!$F:$F,$D91)</f>
        <v>0</v>
      </c>
      <c r="Q91" s="31">
        <f>SUMIFS(LinkFromRateBase!$J:$J,LinkFromRateBase!$E:$E,Q$5,LinkFromRateBase!$F:$F,$D91)</f>
        <v>0</v>
      </c>
      <c r="R91" s="31">
        <f>SUMIFS(LinkFromRateBase!$J:$J,LinkFromRateBase!$E:$E,R$5,LinkFromRateBase!$F:$F,$D91)</f>
        <v>0</v>
      </c>
      <c r="S91" s="31">
        <f>SUMIFS(LinkFromRateBase!$J:$J,LinkFromRateBase!$E:$E,S$5,LinkFromRateBase!$F:$F,$D91)</f>
        <v>0</v>
      </c>
      <c r="T91" s="31">
        <f>SUMIFS(LinkFromRateBase!$J:$J,LinkFromRateBase!$E:$E,T$5,LinkFromRateBase!$F:$F,$D91)</f>
        <v>0</v>
      </c>
      <c r="U91" s="31">
        <f>SUMIFS(LinkFromRateBase!$J:$J,LinkFromRateBase!$E:$E,U$5,LinkFromRateBase!$F:$F,$D91)</f>
        <v>1093309.5</v>
      </c>
      <c r="V91" s="31"/>
    </row>
    <row r="92" spans="2:22" x14ac:dyDescent="0.25">
      <c r="B92" s="229" t="s">
        <v>7259</v>
      </c>
      <c r="D92" s="38" t="s">
        <v>8105</v>
      </c>
      <c r="F92" s="31">
        <f>SUM(H92:U92)</f>
        <v>141678</v>
      </c>
      <c r="H92" s="31">
        <f>SUMIFS(LinkFromRateBase!$J:$J,LinkFromRateBase!$E:$E,H$5,LinkFromRateBase!$F:$F,$D92)</f>
        <v>0</v>
      </c>
      <c r="I92" s="31">
        <f>SUMIFS(LinkFromRateBase!$J:$J,LinkFromRateBase!$E:$E,I$5,LinkFromRateBase!$F:$F,$D92)</f>
        <v>0</v>
      </c>
      <c r="J92" s="31">
        <f>SUMIFS(LinkFromRateBase!$J:$J,LinkFromRateBase!$E:$E,J$5,LinkFromRateBase!$F:$F,$D92)</f>
        <v>0</v>
      </c>
      <c r="K92" s="31">
        <f>SUMIFS(LinkFromRateBase!$J:$J,LinkFromRateBase!$E:$E,K$5,LinkFromRateBase!$F:$F,$D92)</f>
        <v>0</v>
      </c>
      <c r="L92" s="31">
        <f>SUMIFS(LinkFromRateBase!$J:$J,LinkFromRateBase!$E:$E,L$5,LinkFromRateBase!$F:$F,$D92)</f>
        <v>0</v>
      </c>
      <c r="M92" s="31">
        <f>SUMIFS(LinkFromRateBase!$J:$J,LinkFromRateBase!$E:$E,M$5,LinkFromRateBase!$F:$F,$D92)</f>
        <v>0</v>
      </c>
      <c r="N92" s="31">
        <f>SUMIFS(LinkFromRateBase!$J:$J,LinkFromRateBase!$E:$E,N$5,LinkFromRateBase!$F:$F,$D92)</f>
        <v>0</v>
      </c>
      <c r="O92" s="31">
        <f>SUMIFS(LinkFromRateBase!$J:$J,LinkFromRateBase!$E:$E,O$5,LinkFromRateBase!$F:$F,$D92)</f>
        <v>0</v>
      </c>
      <c r="P92" s="31">
        <f>SUMIFS(LinkFromRateBase!$J:$J,LinkFromRateBase!$E:$E,P$5,LinkFromRateBase!$F:$F,$D92)</f>
        <v>0</v>
      </c>
      <c r="Q92" s="31">
        <f>SUMIFS(LinkFromRateBase!$J:$J,LinkFromRateBase!$E:$E,Q$5,LinkFromRateBase!$F:$F,$D92)</f>
        <v>0</v>
      </c>
      <c r="R92" s="31">
        <f>SUMIFS(LinkFromRateBase!$J:$J,LinkFromRateBase!$E:$E,R$5,LinkFromRateBase!$F:$F,$D92)</f>
        <v>0</v>
      </c>
      <c r="S92" s="31">
        <f>SUMIFS(LinkFromRateBase!$J:$J,LinkFromRateBase!$E:$E,S$5,LinkFromRateBase!$F:$F,$D92)</f>
        <v>0</v>
      </c>
      <c r="T92" s="31">
        <f>SUMIFS(LinkFromRateBase!$J:$J,LinkFromRateBase!$E:$E,T$5,LinkFromRateBase!$F:$F,$D92)</f>
        <v>0</v>
      </c>
      <c r="U92" s="31">
        <f>SUMIFS(LinkFromRateBase!$J:$J,LinkFromRateBase!$E:$E,U$5,LinkFromRateBase!$F:$F,$D92)</f>
        <v>141678</v>
      </c>
      <c r="V92" s="31"/>
    </row>
    <row r="93" spans="2:22" x14ac:dyDescent="0.25">
      <c r="B93" s="16"/>
      <c r="D93" s="15"/>
      <c r="H93" s="31"/>
      <c r="I93" s="31"/>
      <c r="J93" s="31"/>
      <c r="K93" s="31"/>
      <c r="L93" s="62"/>
      <c r="M93" s="62"/>
      <c r="N93" s="62"/>
      <c r="O93" s="62"/>
      <c r="P93" s="31"/>
      <c r="Q93" s="31"/>
      <c r="R93" s="31"/>
      <c r="S93" s="31"/>
      <c r="T93" s="31"/>
      <c r="U93" s="31"/>
      <c r="V93" s="31"/>
    </row>
    <row r="94" spans="2:22" x14ac:dyDescent="0.25">
      <c r="B94" s="16"/>
      <c r="D94" s="17" t="s">
        <v>6964</v>
      </c>
      <c r="F94" s="52">
        <f>SUM(F9:F93)</f>
        <v>197753759</v>
      </c>
      <c r="H94" s="42">
        <f t="shared" ref="H94:U94" si="11">SUM(H9:H93)</f>
        <v>257483.5</v>
      </c>
      <c r="I94" s="42">
        <f t="shared" si="11"/>
        <v>8142743</v>
      </c>
      <c r="J94" s="42">
        <f t="shared" si="11"/>
        <v>27123929.5</v>
      </c>
      <c r="K94" s="42">
        <f t="shared" si="11"/>
        <v>5296495.5</v>
      </c>
      <c r="L94" s="165">
        <f t="shared" si="11"/>
        <v>0</v>
      </c>
      <c r="M94" s="165">
        <f t="shared" si="11"/>
        <v>1080293</v>
      </c>
      <c r="N94" s="165">
        <f t="shared" si="11"/>
        <v>39380221.5</v>
      </c>
      <c r="O94" s="165">
        <f t="shared" si="11"/>
        <v>70162318</v>
      </c>
      <c r="P94" s="42">
        <f t="shared" si="11"/>
        <v>6725931</v>
      </c>
      <c r="Q94" s="42">
        <f t="shared" si="11"/>
        <v>10648966.5</v>
      </c>
      <c r="R94" s="42">
        <f t="shared" si="11"/>
        <v>4202409</v>
      </c>
      <c r="S94" s="42">
        <f t="shared" si="11"/>
        <v>0</v>
      </c>
      <c r="T94" s="42">
        <f t="shared" si="11"/>
        <v>11343121.5</v>
      </c>
      <c r="U94" s="42">
        <f t="shared" si="11"/>
        <v>13389847</v>
      </c>
      <c r="V94" s="31"/>
    </row>
    <row r="95" spans="2:22" x14ac:dyDescent="0.25">
      <c r="B95" s="16"/>
      <c r="D95" s="17"/>
      <c r="F95" s="26"/>
      <c r="H95" s="53"/>
      <c r="I95" s="53"/>
      <c r="J95" s="53"/>
      <c r="K95" s="53"/>
      <c r="L95" s="166"/>
      <c r="M95" s="166"/>
      <c r="N95" s="166"/>
      <c r="O95" s="166"/>
      <c r="P95" s="53"/>
      <c r="Q95" s="53"/>
      <c r="R95" s="53"/>
      <c r="S95" s="53"/>
      <c r="T95" s="53"/>
      <c r="U95" s="53"/>
      <c r="V95" s="31"/>
    </row>
    <row r="96" spans="2:22" x14ac:dyDescent="0.25">
      <c r="B96" s="229"/>
      <c r="D96" s="38" t="s">
        <v>8148</v>
      </c>
      <c r="F96" s="31">
        <f>+LinkFromRateBase!J74</f>
        <v>0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 spans="2:22" x14ac:dyDescent="0.25">
      <c r="B97" s="229"/>
      <c r="D97" s="38" t="s">
        <v>8138</v>
      </c>
      <c r="F97" s="31">
        <f>+LinkFromRateBase!J75</f>
        <v>65746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 spans="2:22" x14ac:dyDescent="0.25">
      <c r="B98" s="16"/>
      <c r="D98" s="161" t="s">
        <v>6977</v>
      </c>
      <c r="F98" s="31">
        <f>+LinkFromRateBase!G83</f>
        <v>0</v>
      </c>
      <c r="H98" s="53"/>
      <c r="I98" s="53"/>
      <c r="J98" s="53"/>
      <c r="K98" s="53"/>
      <c r="L98" s="166"/>
      <c r="M98" s="166"/>
      <c r="N98" s="166"/>
      <c r="O98" s="166"/>
      <c r="P98" s="53"/>
      <c r="Q98" s="53"/>
      <c r="R98" s="53"/>
      <c r="S98" s="53"/>
      <c r="T98" s="53"/>
      <c r="U98" s="53"/>
      <c r="V98" s="31"/>
    </row>
    <row r="99" spans="2:22" x14ac:dyDescent="0.25">
      <c r="B99" s="16"/>
      <c r="D99" s="17"/>
      <c r="F99" s="31"/>
      <c r="H99" s="53"/>
      <c r="I99" s="53"/>
      <c r="J99" s="53"/>
      <c r="K99" s="53"/>
      <c r="L99" s="166"/>
      <c r="M99" s="166"/>
      <c r="N99" s="166"/>
      <c r="O99" s="166"/>
      <c r="P99" s="53"/>
      <c r="Q99" s="53"/>
      <c r="R99" s="53"/>
      <c r="S99" s="53"/>
      <c r="T99" s="53"/>
      <c r="U99" s="53"/>
      <c r="V99" s="31"/>
    </row>
    <row r="100" spans="2:22" ht="15.75" thickBot="1" x14ac:dyDescent="0.3">
      <c r="B100" s="16"/>
      <c r="D100" s="18" t="s">
        <v>7150</v>
      </c>
      <c r="F100" s="52">
        <f>+F94+F98+F96+F97</f>
        <v>197819505</v>
      </c>
      <c r="H100" s="31"/>
      <c r="I100" s="31"/>
      <c r="J100" s="31"/>
      <c r="K100" s="31"/>
      <c r="L100" s="62"/>
      <c r="M100" s="62"/>
      <c r="N100" s="62"/>
      <c r="O100" s="62"/>
      <c r="P100" s="31"/>
      <c r="Q100" s="31"/>
      <c r="R100" s="31"/>
      <c r="S100" s="31"/>
      <c r="T100" s="31"/>
      <c r="V100" s="31"/>
    </row>
    <row r="101" spans="2:22" x14ac:dyDescent="0.25">
      <c r="B101" s="16"/>
      <c r="D101" s="156"/>
      <c r="F101" s="31"/>
      <c r="H101" s="31"/>
      <c r="I101" s="31"/>
      <c r="J101" s="31"/>
      <c r="K101" s="31"/>
      <c r="L101" s="62"/>
      <c r="M101" s="62"/>
      <c r="N101" s="62"/>
      <c r="O101" s="62"/>
      <c r="P101" s="31"/>
      <c r="Q101" s="31"/>
      <c r="R101" s="31"/>
      <c r="S101" s="31"/>
      <c r="T101" s="31"/>
      <c r="V101" s="31"/>
    </row>
    <row r="102" spans="2:22" ht="15" customHeight="1" x14ac:dyDescent="0.25">
      <c r="B102" s="16"/>
      <c r="D102" s="17"/>
      <c r="F102" s="31"/>
      <c r="H102" s="31"/>
      <c r="I102" s="31"/>
      <c r="J102" s="31"/>
      <c r="K102" s="31"/>
      <c r="L102" s="62"/>
      <c r="M102" s="62"/>
      <c r="N102" s="62"/>
      <c r="O102" s="62"/>
      <c r="P102" s="31"/>
      <c r="Q102" s="31"/>
      <c r="R102" s="31"/>
      <c r="S102" s="31"/>
      <c r="T102" s="31"/>
      <c r="V102" s="31"/>
    </row>
    <row r="103" spans="2:22" x14ac:dyDescent="0.25">
      <c r="B103" s="19" t="s">
        <v>6928</v>
      </c>
      <c r="H103" s="31"/>
      <c r="I103" s="31"/>
      <c r="J103" s="31"/>
      <c r="K103" s="31"/>
      <c r="L103" s="62"/>
      <c r="M103" s="62"/>
      <c r="N103" s="62"/>
      <c r="O103" s="62"/>
      <c r="P103" s="31"/>
      <c r="Q103" s="31"/>
      <c r="R103" s="31"/>
      <c r="S103" s="31"/>
      <c r="T103" s="31"/>
      <c r="U103" s="31"/>
      <c r="V103" s="31"/>
    </row>
    <row r="104" spans="2:22" x14ac:dyDescent="0.25">
      <c r="B104" s="35"/>
      <c r="D104" s="2" t="s">
        <v>8144</v>
      </c>
      <c r="F104" s="31">
        <f>+LinkFromRateBase!G120</f>
        <v>-1973180</v>
      </c>
      <c r="H104" s="31"/>
      <c r="I104" s="31"/>
      <c r="J104" s="31"/>
      <c r="K104" s="31"/>
      <c r="L104" s="62"/>
      <c r="M104" s="62"/>
      <c r="N104" s="62"/>
      <c r="O104" s="62"/>
      <c r="P104" s="31"/>
      <c r="Q104" s="31"/>
      <c r="R104" s="31"/>
      <c r="S104" s="31"/>
      <c r="T104" s="31"/>
      <c r="U104" s="31"/>
      <c r="V104" s="31"/>
    </row>
    <row r="105" spans="2:22" x14ac:dyDescent="0.25">
      <c r="B105" s="35"/>
      <c r="D105" s="2" t="s">
        <v>8145</v>
      </c>
      <c r="F105" s="31">
        <f>+LinkFromRateBase!G121</f>
        <v>685694</v>
      </c>
      <c r="H105" s="31"/>
      <c r="I105" s="31"/>
      <c r="J105" s="31"/>
      <c r="K105" s="31"/>
      <c r="L105" s="62"/>
      <c r="M105" s="62"/>
      <c r="N105" s="62"/>
      <c r="O105" s="62"/>
      <c r="P105" s="31"/>
      <c r="Q105" s="31"/>
      <c r="R105" s="31"/>
      <c r="S105" s="31"/>
      <c r="T105" s="31"/>
      <c r="U105" s="31"/>
      <c r="V105" s="31"/>
    </row>
    <row r="106" spans="2:22" x14ac:dyDescent="0.25">
      <c r="B106" s="35"/>
      <c r="D106" s="2" t="s">
        <v>8146</v>
      </c>
      <c r="F106" s="31">
        <f>+LinkFromRateBase!G122</f>
        <v>65746</v>
      </c>
      <c r="H106" s="31"/>
      <c r="I106" s="31"/>
      <c r="J106" s="31"/>
      <c r="K106" s="31"/>
      <c r="L106" s="62"/>
      <c r="M106" s="62"/>
      <c r="N106" s="62"/>
      <c r="O106" s="62"/>
      <c r="P106" s="31"/>
      <c r="Q106" s="31"/>
      <c r="R106" s="31"/>
      <c r="S106" s="31"/>
      <c r="T106" s="31"/>
      <c r="U106" s="31"/>
      <c r="V106" s="31"/>
    </row>
    <row r="107" spans="2:22" x14ac:dyDescent="0.25">
      <c r="B107" s="35"/>
      <c r="D107" s="2" t="s">
        <v>8147</v>
      </c>
      <c r="F107" s="31">
        <f>+LinkFromRateBase!G123</f>
        <v>251938</v>
      </c>
      <c r="H107" s="31"/>
      <c r="I107" s="31"/>
      <c r="J107" s="31"/>
      <c r="K107" s="31"/>
      <c r="L107" s="62"/>
      <c r="M107" s="62"/>
      <c r="N107" s="62"/>
      <c r="O107" s="62"/>
      <c r="P107" s="31"/>
      <c r="Q107" s="31"/>
      <c r="R107" s="31"/>
      <c r="S107" s="31"/>
      <c r="T107" s="31"/>
      <c r="U107" s="31"/>
      <c r="V107" s="31"/>
    </row>
    <row r="108" spans="2:22" x14ac:dyDescent="0.25">
      <c r="B108" s="35"/>
      <c r="H108" s="31"/>
      <c r="I108" s="31"/>
      <c r="J108" s="31"/>
      <c r="K108" s="31"/>
      <c r="L108" s="62"/>
      <c r="M108" s="62"/>
      <c r="N108" s="62"/>
      <c r="O108" s="62"/>
      <c r="P108" s="31"/>
      <c r="Q108" s="31"/>
      <c r="R108" s="31"/>
      <c r="S108" s="31"/>
      <c r="T108" s="31"/>
      <c r="U108" s="31"/>
      <c r="V108" s="31"/>
    </row>
    <row r="109" spans="2:22" x14ac:dyDescent="0.25">
      <c r="B109" s="19" t="s">
        <v>6929</v>
      </c>
      <c r="H109" s="31"/>
      <c r="I109" s="31"/>
      <c r="J109" s="31"/>
      <c r="K109" s="31"/>
      <c r="L109" s="62"/>
      <c r="M109" s="62"/>
      <c r="N109" s="62"/>
      <c r="O109" s="62"/>
      <c r="P109" s="31"/>
      <c r="Q109" s="31"/>
      <c r="R109" s="31"/>
      <c r="S109" s="31"/>
      <c r="T109" s="31"/>
      <c r="U109" s="31"/>
      <c r="V109" s="31"/>
    </row>
    <row r="110" spans="2:22" x14ac:dyDescent="0.25">
      <c r="B110" s="35"/>
      <c r="D110" s="2" t="s">
        <v>8139</v>
      </c>
      <c r="F110" s="31">
        <f>-+LinkFromRateBase!G85</f>
        <v>0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 spans="2:22" x14ac:dyDescent="0.25">
      <c r="B111" s="35"/>
      <c r="D111" s="4" t="s">
        <v>8140</v>
      </c>
      <c r="F111" s="31">
        <f>-LinkFromRateBase!G102</f>
        <v>0</v>
      </c>
      <c r="H111" s="31"/>
      <c r="I111" s="31"/>
      <c r="J111" s="31"/>
      <c r="K111" s="31"/>
      <c r="L111" s="62"/>
      <c r="M111" s="62"/>
      <c r="N111" s="62"/>
      <c r="O111" s="62"/>
      <c r="P111" s="31"/>
      <c r="Q111" s="31"/>
      <c r="R111" s="31"/>
      <c r="S111" s="31"/>
      <c r="T111" s="31"/>
      <c r="U111" s="31"/>
      <c r="V111" s="31"/>
    </row>
    <row r="112" spans="2:22" x14ac:dyDescent="0.25">
      <c r="B112" s="35"/>
      <c r="D112" s="2" t="s">
        <v>8141</v>
      </c>
      <c r="F112" s="31">
        <f>-LinkFromRateBase!G116</f>
        <v>-368047</v>
      </c>
      <c r="H112" s="31"/>
      <c r="I112" s="31"/>
      <c r="J112" s="31"/>
      <c r="K112" s="31"/>
      <c r="L112" s="62"/>
      <c r="M112" s="62"/>
      <c r="N112" s="62"/>
      <c r="O112" s="62"/>
      <c r="P112" s="31"/>
      <c r="Q112" s="31"/>
      <c r="R112" s="31"/>
      <c r="S112" s="31"/>
      <c r="T112" s="31"/>
      <c r="U112" s="31"/>
      <c r="V112" s="31"/>
    </row>
    <row r="113" spans="2:22" x14ac:dyDescent="0.25">
      <c r="B113" s="35"/>
      <c r="D113" s="2" t="s">
        <v>8142</v>
      </c>
      <c r="F113" s="31">
        <f>-LinkFromRateBase!G117</f>
        <v>-40362698</v>
      </c>
      <c r="H113" s="31"/>
      <c r="I113" s="31"/>
      <c r="J113" s="31"/>
      <c r="K113" s="31"/>
      <c r="L113" s="62"/>
      <c r="M113" s="62"/>
      <c r="N113" s="62"/>
      <c r="O113" s="62"/>
      <c r="P113" s="31"/>
      <c r="Q113" s="31"/>
      <c r="R113" s="31"/>
      <c r="S113" s="31"/>
      <c r="T113" s="31"/>
      <c r="U113" s="31"/>
      <c r="V113" s="31"/>
    </row>
    <row r="114" spans="2:22" x14ac:dyDescent="0.25">
      <c r="B114" s="35"/>
      <c r="D114" s="2" t="s">
        <v>8143</v>
      </c>
      <c r="F114" s="31">
        <f>-LinkFromRateBase!G118</f>
        <v>-2585</v>
      </c>
      <c r="H114" s="31"/>
      <c r="I114" s="31"/>
      <c r="J114" s="31"/>
      <c r="K114" s="31"/>
      <c r="L114" s="62"/>
      <c r="M114" s="62"/>
      <c r="N114" s="62"/>
      <c r="O114" s="62"/>
      <c r="P114" s="31"/>
      <c r="Q114" s="31"/>
      <c r="R114" s="31"/>
      <c r="S114" s="31"/>
      <c r="T114" s="31"/>
      <c r="U114" s="31"/>
      <c r="V114" s="31"/>
    </row>
    <row r="115" spans="2:22" x14ac:dyDescent="0.25">
      <c r="B115" s="35"/>
      <c r="H115" s="31"/>
      <c r="I115" s="31"/>
      <c r="J115" s="31"/>
      <c r="K115" s="31"/>
      <c r="L115" s="62"/>
      <c r="M115" s="62"/>
      <c r="N115" s="62"/>
      <c r="O115" s="62"/>
      <c r="P115" s="31"/>
      <c r="Q115" s="31"/>
      <c r="R115" s="31"/>
      <c r="S115" s="31"/>
      <c r="T115" s="31"/>
      <c r="U115" s="31"/>
      <c r="V115" s="31"/>
    </row>
    <row r="116" spans="2:22" ht="15.75" thickBot="1" x14ac:dyDescent="0.3">
      <c r="B116" s="35"/>
      <c r="D116" s="18" t="s">
        <v>6930</v>
      </c>
      <c r="F116" s="43">
        <f>SUM(F100:F114)</f>
        <v>156116373</v>
      </c>
      <c r="H116" s="31"/>
      <c r="I116" s="31"/>
      <c r="J116" s="31"/>
      <c r="K116" s="31"/>
      <c r="L116" s="62"/>
      <c r="M116" s="62"/>
      <c r="N116" s="62"/>
      <c r="O116" s="62"/>
      <c r="P116" s="31"/>
      <c r="Q116" s="31"/>
      <c r="R116" s="31"/>
      <c r="S116" s="31"/>
      <c r="T116" s="31"/>
      <c r="U116" s="31"/>
      <c r="V116" s="31"/>
    </row>
    <row r="117" spans="2:22" x14ac:dyDescent="0.25">
      <c r="H117" s="31"/>
      <c r="I117" s="31"/>
      <c r="J117" s="31"/>
      <c r="K117" s="31"/>
      <c r="L117" s="62"/>
      <c r="M117" s="62"/>
      <c r="N117" s="62"/>
      <c r="O117" s="62"/>
      <c r="P117" s="31"/>
      <c r="Q117" s="31"/>
      <c r="R117" s="31"/>
      <c r="S117" s="31"/>
      <c r="T117" s="31"/>
      <c r="U117" s="31"/>
      <c r="V117" s="31"/>
    </row>
    <row r="118" spans="2:22" s="48" customFormat="1" ht="30.75" thickBot="1" x14ac:dyDescent="0.3">
      <c r="B118" s="44" t="s">
        <v>6920</v>
      </c>
      <c r="C118" s="45"/>
      <c r="D118" s="45" t="s">
        <v>6921</v>
      </c>
      <c r="E118" s="46"/>
      <c r="F118" s="33" t="str">
        <f>+F5</f>
        <v>Total $ Amount</v>
      </c>
      <c r="G118" s="33"/>
      <c r="H118" s="33" t="s">
        <v>20</v>
      </c>
      <c r="I118" s="33" t="s">
        <v>23</v>
      </c>
      <c r="J118" s="33" t="s">
        <v>9</v>
      </c>
      <c r="K118" s="33" t="s">
        <v>6865</v>
      </c>
      <c r="L118" s="164" t="s">
        <v>6978</v>
      </c>
      <c r="M118" s="164" t="s">
        <v>6982</v>
      </c>
      <c r="N118" s="164" t="s">
        <v>6980</v>
      </c>
      <c r="O118" s="164" t="s">
        <v>6981</v>
      </c>
      <c r="P118" s="33" t="s">
        <v>6959</v>
      </c>
      <c r="Q118" s="33" t="s">
        <v>28</v>
      </c>
      <c r="R118" s="33" t="s">
        <v>27</v>
      </c>
      <c r="S118" s="33" t="s">
        <v>6958</v>
      </c>
      <c r="T118" s="33" t="s">
        <v>30</v>
      </c>
      <c r="U118" s="33" t="s">
        <v>6866</v>
      </c>
      <c r="V118" s="47"/>
    </row>
    <row r="119" spans="2:22" ht="15.75" thickTop="1" x14ac:dyDescent="0.25">
      <c r="B119" s="25"/>
      <c r="C119" s="7"/>
      <c r="D119" s="7"/>
      <c r="E119" s="26"/>
      <c r="F119" s="26"/>
      <c r="G119" s="26"/>
      <c r="H119" s="26"/>
      <c r="I119" s="26"/>
      <c r="J119" s="26"/>
      <c r="K119" s="26"/>
      <c r="L119" s="163"/>
      <c r="M119" s="163"/>
      <c r="N119" s="163"/>
      <c r="O119" s="163"/>
      <c r="P119" s="26"/>
      <c r="Q119" s="32"/>
      <c r="R119" s="26"/>
      <c r="S119" s="26"/>
      <c r="T119" s="26"/>
      <c r="U119" s="31"/>
      <c r="V119" s="31"/>
    </row>
    <row r="120" spans="2:22" x14ac:dyDescent="0.25">
      <c r="B120" s="19" t="s">
        <v>6955</v>
      </c>
      <c r="H120" s="31"/>
      <c r="I120" s="31"/>
      <c r="J120" s="31"/>
      <c r="K120" s="31"/>
      <c r="L120" s="163"/>
      <c r="M120" s="163"/>
      <c r="N120" s="163"/>
      <c r="O120" s="163"/>
      <c r="P120" s="31"/>
      <c r="Q120" s="31"/>
      <c r="R120" s="31"/>
      <c r="S120" s="31"/>
      <c r="T120" s="31"/>
      <c r="U120" s="31"/>
      <c r="V120" s="31"/>
    </row>
    <row r="121" spans="2:22" x14ac:dyDescent="0.25">
      <c r="B121" s="35"/>
      <c r="D121" s="1" t="s">
        <v>6900</v>
      </c>
      <c r="H121" s="31"/>
      <c r="I121" s="31"/>
      <c r="J121" s="31"/>
      <c r="K121" s="31"/>
      <c r="L121" s="163"/>
      <c r="M121" s="163"/>
      <c r="N121" s="163"/>
      <c r="O121" s="163"/>
      <c r="P121" s="31"/>
      <c r="Q121" s="31"/>
      <c r="R121" s="31"/>
      <c r="S121" s="31"/>
      <c r="T121" s="31"/>
      <c r="U121" s="31"/>
      <c r="V121" s="31"/>
    </row>
    <row r="122" spans="2:22" x14ac:dyDescent="0.25">
      <c r="D122" s="2" t="s">
        <v>3</v>
      </c>
      <c r="F122" s="31">
        <f t="shared" ref="F122:F144" si="12">SUM(H122:U122)</f>
        <v>0</v>
      </c>
      <c r="G122" s="139"/>
      <c r="H122" s="31">
        <f>SUMIFS(LinkFromProFormaIS!$F:$F,LinkFromProFormaIS!$I:$I,$D$121,LinkFromProFormaIS!$J:$J,H$118,LinkFromProFormaIS!$K:$K,$D122)</f>
        <v>0</v>
      </c>
      <c r="I122" s="31">
        <f>SUMIFS(LinkFromProFormaIS!$F:$F,LinkFromProFormaIS!$I:$I,$D$121,LinkFromProFormaIS!$J:$J,I$118,LinkFromProFormaIS!$K:$K,$D122)</f>
        <v>0</v>
      </c>
      <c r="J122" s="31">
        <f>SUMIFS(LinkFromProFormaIS!$F:$F,LinkFromProFormaIS!$I:$I,$D$121,LinkFromProFormaIS!$J:$J,J$118,LinkFromProFormaIS!$K:$K,$D122)</f>
        <v>0</v>
      </c>
      <c r="K122" s="31">
        <f>SUMIFS(LinkFromProFormaIS!$F:$F,LinkFromProFormaIS!$I:$I,$D$121,LinkFromProFormaIS!$J:$J,K$118,LinkFromProFormaIS!$K:$K,$D122)</f>
        <v>0</v>
      </c>
      <c r="L122" s="31">
        <f>SUMIFS(LinkFromProFormaIS!$F:$F,LinkFromProFormaIS!$I:$I,$D$121,LinkFromProFormaIS!$J:$J,L$118,LinkFromProFormaIS!$K:$K,$D122)</f>
        <v>0</v>
      </c>
      <c r="M122" s="31">
        <f>SUMIFS(LinkFromProFormaIS!$F:$F,LinkFromProFormaIS!$I:$I,$D$121,LinkFromProFormaIS!$J:$J,M$118,LinkFromProFormaIS!$K:$K,$D122)</f>
        <v>0</v>
      </c>
      <c r="N122" s="31">
        <f>SUMIFS(LinkFromProFormaIS!$F:$F,LinkFromProFormaIS!$I:$I,$D$121,LinkFromProFormaIS!$J:$J,N$118,LinkFromProFormaIS!$K:$K,$D122)</f>
        <v>0</v>
      </c>
      <c r="O122" s="31">
        <f>SUMIFS(LinkFromProFormaIS!$F:$F,LinkFromProFormaIS!$I:$I,$D$121,LinkFromProFormaIS!$J:$J,O$118,LinkFromProFormaIS!$K:$K,$D122)</f>
        <v>0</v>
      </c>
      <c r="P122" s="31">
        <f>SUMIFS(LinkFromProFormaIS!$F:$F,LinkFromProFormaIS!$I:$I,$D$121,LinkFromProFormaIS!$J:$J,P$118,LinkFromProFormaIS!$K:$K,$D122)</f>
        <v>0</v>
      </c>
      <c r="Q122" s="31">
        <f>SUMIFS(LinkFromProFormaIS!$F:$F,LinkFromProFormaIS!$I:$I,$D$121,LinkFromProFormaIS!$J:$J,Q$118,LinkFromProFormaIS!$K:$K,$D122)</f>
        <v>0</v>
      </c>
      <c r="R122" s="31">
        <f>SUMIFS(LinkFromProFormaIS!$F:$F,LinkFromProFormaIS!$I:$I,$D$121,LinkFromProFormaIS!$J:$J,R$118,LinkFromProFormaIS!$K:$K,$D122)</f>
        <v>0</v>
      </c>
      <c r="S122" s="31">
        <f>SUMIFS(LinkFromProFormaIS!$F:$F,LinkFromProFormaIS!$I:$I,$D$121,LinkFromProFormaIS!$J:$J,S$118,LinkFromProFormaIS!$K:$K,$D122)</f>
        <v>0</v>
      </c>
      <c r="T122" s="31">
        <f>SUMIFS(LinkFromProFormaIS!$F:$F,LinkFromProFormaIS!$I:$I,$D$121,LinkFromProFormaIS!$J:$J,T$118,LinkFromProFormaIS!$K:$K,$D122)</f>
        <v>0</v>
      </c>
      <c r="U122" s="31">
        <f>SUMIFS(LinkFromProFormaIS!$F:$F,LinkFromProFormaIS!$I:$I,$D$121,LinkFromProFormaIS!$J:$J,U$118,LinkFromProFormaIS!$K:$K,$D122)</f>
        <v>0</v>
      </c>
      <c r="V122" s="31"/>
    </row>
    <row r="123" spans="2:22" x14ac:dyDescent="0.25">
      <c r="D123" s="2" t="s">
        <v>7142</v>
      </c>
      <c r="F123" s="31">
        <f t="shared" si="12"/>
        <v>1246638</v>
      </c>
      <c r="G123" s="139"/>
      <c r="H123" s="31">
        <f>SUMIFS(LinkFromProFormaIS!$F:$F,LinkFromProFormaIS!$I:$I,$D$121,LinkFromProFormaIS!$J:$J,H$118,LinkFromProFormaIS!$K:$K,$D123)</f>
        <v>0</v>
      </c>
      <c r="I123" s="31">
        <f>SUMIFS(LinkFromProFormaIS!$F:$F,LinkFromProFormaIS!$I:$I,$D$121,LinkFromProFormaIS!$J:$J,I$118,LinkFromProFormaIS!$K:$K,$D123)</f>
        <v>174784.38112377655</v>
      </c>
      <c r="J123" s="31">
        <f>SUMIFS(LinkFromProFormaIS!$F:$F,LinkFromProFormaIS!$I:$I,$D$121,LinkFromProFormaIS!$J:$J,J$118,LinkFromProFormaIS!$K:$K,$D123)</f>
        <v>0</v>
      </c>
      <c r="K123" s="31">
        <f>SUMIFS(LinkFromProFormaIS!$F:$F,LinkFromProFormaIS!$I:$I,$D$121,LinkFromProFormaIS!$J:$J,K$118,LinkFromProFormaIS!$K:$K,$D123)</f>
        <v>1058388.400414746</v>
      </c>
      <c r="L123" s="31">
        <f>SUMIFS(LinkFromProFormaIS!$F:$F,LinkFromProFormaIS!$I:$I,$D$121,LinkFromProFormaIS!$J:$J,L$118,LinkFromProFormaIS!$K:$K,$D123)</f>
        <v>11203.177023207281</v>
      </c>
      <c r="M123" s="31">
        <f>SUMIFS(LinkFromProFormaIS!$F:$F,LinkFromProFormaIS!$I:$I,$D$121,LinkFromProFormaIS!$J:$J,M$118,LinkFromProFormaIS!$K:$K,$D123)</f>
        <v>0</v>
      </c>
      <c r="N123" s="31">
        <f>SUMIFS(LinkFromProFormaIS!$F:$F,LinkFromProFormaIS!$I:$I,$D$121,LinkFromProFormaIS!$J:$J,N$118,LinkFromProFormaIS!$K:$K,$D123)</f>
        <v>0</v>
      </c>
      <c r="O123" s="31">
        <f>SUMIFS(LinkFromProFormaIS!$F:$F,LinkFromProFormaIS!$I:$I,$D$121,LinkFromProFormaIS!$J:$J,O$118,LinkFromProFormaIS!$K:$K,$D123)</f>
        <v>0</v>
      </c>
      <c r="P123" s="31">
        <f>SUMIFS(LinkFromProFormaIS!$F:$F,LinkFromProFormaIS!$I:$I,$D$121,LinkFromProFormaIS!$J:$J,P$118,LinkFromProFormaIS!$K:$K,$D123)</f>
        <v>0</v>
      </c>
      <c r="Q123" s="31">
        <f>SUMIFS(LinkFromProFormaIS!$F:$F,LinkFromProFormaIS!$I:$I,$D$121,LinkFromProFormaIS!$J:$J,Q$118,LinkFromProFormaIS!$K:$K,$D123)</f>
        <v>0</v>
      </c>
      <c r="R123" s="31">
        <f>SUMIFS(LinkFromProFormaIS!$F:$F,LinkFromProFormaIS!$I:$I,$D$121,LinkFromProFormaIS!$J:$J,R$118,LinkFromProFormaIS!$K:$K,$D123)</f>
        <v>0</v>
      </c>
      <c r="S123" s="31">
        <f>SUMIFS(LinkFromProFormaIS!$F:$F,LinkFromProFormaIS!$I:$I,$D$121,LinkFromProFormaIS!$J:$J,S$118,LinkFromProFormaIS!$K:$K,$D123)</f>
        <v>0</v>
      </c>
      <c r="T123" s="31">
        <f>SUMIFS(LinkFromProFormaIS!$F:$F,LinkFromProFormaIS!$I:$I,$D$121,LinkFromProFormaIS!$J:$J,T$118,LinkFromProFormaIS!$K:$K,$D123)</f>
        <v>0</v>
      </c>
      <c r="U123" s="31">
        <f>SUMIFS(LinkFromProFormaIS!$F:$F,LinkFromProFormaIS!$I:$I,$D$121,LinkFromProFormaIS!$J:$J,U$118,LinkFromProFormaIS!$K:$K,$D123)</f>
        <v>2262.0414382702188</v>
      </c>
      <c r="V123" s="31"/>
    </row>
    <row r="124" spans="2:22" x14ac:dyDescent="0.25">
      <c r="D124" s="2" t="s">
        <v>12</v>
      </c>
      <c r="F124" s="31">
        <f t="shared" si="12"/>
        <v>1510528</v>
      </c>
      <c r="G124" s="139"/>
      <c r="H124" s="31">
        <f>SUMIFS(LinkFromProFormaIS!$F:$F,LinkFromProFormaIS!$I:$I,$D$121,LinkFromProFormaIS!$J:$J,H$118,LinkFromProFormaIS!$K:$K,$D124)</f>
        <v>0</v>
      </c>
      <c r="I124" s="31">
        <f>SUMIFS(LinkFromProFormaIS!$F:$F,LinkFromProFormaIS!$I:$I,$D$121,LinkFromProFormaIS!$J:$J,I$118,LinkFromProFormaIS!$K:$K,$D124)</f>
        <v>0</v>
      </c>
      <c r="J124" s="31">
        <f>SUMIFS(LinkFromProFormaIS!$F:$F,LinkFromProFormaIS!$I:$I,$D$121,LinkFromProFormaIS!$J:$J,J$118,LinkFromProFormaIS!$K:$K,$D124)</f>
        <v>1510528</v>
      </c>
      <c r="K124" s="31">
        <f>SUMIFS(LinkFromProFormaIS!$F:$F,LinkFromProFormaIS!$I:$I,$D$121,LinkFromProFormaIS!$J:$J,K$118,LinkFromProFormaIS!$K:$K,$D124)</f>
        <v>0</v>
      </c>
      <c r="L124" s="31">
        <f>SUMIFS(LinkFromProFormaIS!$F:$F,LinkFromProFormaIS!$I:$I,$D$121,LinkFromProFormaIS!$J:$J,L$118,LinkFromProFormaIS!$K:$K,$D124)</f>
        <v>0</v>
      </c>
      <c r="M124" s="31">
        <f>SUMIFS(LinkFromProFormaIS!$F:$F,LinkFromProFormaIS!$I:$I,$D$121,LinkFromProFormaIS!$J:$J,M$118,LinkFromProFormaIS!$K:$K,$D124)</f>
        <v>0</v>
      </c>
      <c r="N124" s="31">
        <f>SUMIFS(LinkFromProFormaIS!$F:$F,LinkFromProFormaIS!$I:$I,$D$121,LinkFromProFormaIS!$J:$J,N$118,LinkFromProFormaIS!$K:$K,$D124)</f>
        <v>0</v>
      </c>
      <c r="O124" s="31">
        <f>SUMIFS(LinkFromProFormaIS!$F:$F,LinkFromProFormaIS!$I:$I,$D$121,LinkFromProFormaIS!$J:$J,O$118,LinkFromProFormaIS!$K:$K,$D124)</f>
        <v>0</v>
      </c>
      <c r="P124" s="31">
        <f>SUMIFS(LinkFromProFormaIS!$F:$F,LinkFromProFormaIS!$I:$I,$D$121,LinkFromProFormaIS!$J:$J,P$118,LinkFromProFormaIS!$K:$K,$D124)</f>
        <v>0</v>
      </c>
      <c r="Q124" s="31">
        <f>SUMIFS(LinkFromProFormaIS!$F:$F,LinkFromProFormaIS!$I:$I,$D$121,LinkFromProFormaIS!$J:$J,Q$118,LinkFromProFormaIS!$K:$K,$D124)</f>
        <v>0</v>
      </c>
      <c r="R124" s="31">
        <f>SUMIFS(LinkFromProFormaIS!$F:$F,LinkFromProFormaIS!$I:$I,$D$121,LinkFromProFormaIS!$J:$J,R$118,LinkFromProFormaIS!$K:$K,$D124)</f>
        <v>0</v>
      </c>
      <c r="S124" s="31">
        <f>SUMIFS(LinkFromProFormaIS!$F:$F,LinkFromProFormaIS!$I:$I,$D$121,LinkFromProFormaIS!$J:$J,S$118,LinkFromProFormaIS!$K:$K,$D124)</f>
        <v>0</v>
      </c>
      <c r="T124" s="31">
        <f>SUMIFS(LinkFromProFormaIS!$F:$F,LinkFromProFormaIS!$I:$I,$D$121,LinkFromProFormaIS!$J:$J,T$118,LinkFromProFormaIS!$K:$K,$D124)</f>
        <v>0</v>
      </c>
      <c r="U124" s="31">
        <f>SUMIFS(LinkFromProFormaIS!$F:$F,LinkFromProFormaIS!$I:$I,$D$121,LinkFromProFormaIS!$J:$J,U$118,LinkFromProFormaIS!$K:$K,$D124)</f>
        <v>0</v>
      </c>
      <c r="V124" s="31"/>
    </row>
    <row r="125" spans="2:22" x14ac:dyDescent="0.25">
      <c r="D125" s="2" t="s">
        <v>11</v>
      </c>
      <c r="F125" s="31">
        <f t="shared" si="12"/>
        <v>45024</v>
      </c>
      <c r="G125" s="139"/>
      <c r="H125" s="31">
        <f>SUMIFS(LinkFromProFormaIS!$F:$F,LinkFromProFormaIS!$I:$I,$D$121,LinkFromProFormaIS!$J:$J,H$118,LinkFromProFormaIS!$K:$K,$D125)</f>
        <v>0</v>
      </c>
      <c r="I125" s="31">
        <f>SUMIFS(LinkFromProFormaIS!$F:$F,LinkFromProFormaIS!$I:$I,$D$121,LinkFromProFormaIS!$J:$J,I$118,LinkFromProFormaIS!$K:$K,$D125)</f>
        <v>0</v>
      </c>
      <c r="J125" s="31">
        <f>SUMIFS(LinkFromProFormaIS!$F:$F,LinkFromProFormaIS!$I:$I,$D$121,LinkFromProFormaIS!$J:$J,J$118,LinkFromProFormaIS!$K:$K,$D125)</f>
        <v>45024</v>
      </c>
      <c r="K125" s="31">
        <f>SUMIFS(LinkFromProFormaIS!$F:$F,LinkFromProFormaIS!$I:$I,$D$121,LinkFromProFormaIS!$J:$J,K$118,LinkFromProFormaIS!$K:$K,$D125)</f>
        <v>0</v>
      </c>
      <c r="L125" s="31">
        <f>SUMIFS(LinkFromProFormaIS!$F:$F,LinkFromProFormaIS!$I:$I,$D$121,LinkFromProFormaIS!$J:$J,L$118,LinkFromProFormaIS!$K:$K,$D125)</f>
        <v>0</v>
      </c>
      <c r="M125" s="31">
        <f>SUMIFS(LinkFromProFormaIS!$F:$F,LinkFromProFormaIS!$I:$I,$D$121,LinkFromProFormaIS!$J:$J,M$118,LinkFromProFormaIS!$K:$K,$D125)</f>
        <v>0</v>
      </c>
      <c r="N125" s="31">
        <f>SUMIFS(LinkFromProFormaIS!$F:$F,LinkFromProFormaIS!$I:$I,$D$121,LinkFromProFormaIS!$J:$J,N$118,LinkFromProFormaIS!$K:$K,$D125)</f>
        <v>0</v>
      </c>
      <c r="O125" s="31">
        <f>SUMIFS(LinkFromProFormaIS!$F:$F,LinkFromProFormaIS!$I:$I,$D$121,LinkFromProFormaIS!$J:$J,O$118,LinkFromProFormaIS!$K:$K,$D125)</f>
        <v>0</v>
      </c>
      <c r="P125" s="31">
        <f>SUMIFS(LinkFromProFormaIS!$F:$F,LinkFromProFormaIS!$I:$I,$D$121,LinkFromProFormaIS!$J:$J,P$118,LinkFromProFormaIS!$K:$K,$D125)</f>
        <v>0</v>
      </c>
      <c r="Q125" s="31">
        <f>SUMIFS(LinkFromProFormaIS!$F:$F,LinkFromProFormaIS!$I:$I,$D$121,LinkFromProFormaIS!$J:$J,Q$118,LinkFromProFormaIS!$K:$K,$D125)</f>
        <v>0</v>
      </c>
      <c r="R125" s="31">
        <f>SUMIFS(LinkFromProFormaIS!$F:$F,LinkFromProFormaIS!$I:$I,$D$121,LinkFromProFormaIS!$J:$J,R$118,LinkFromProFormaIS!$K:$K,$D125)</f>
        <v>0</v>
      </c>
      <c r="S125" s="31">
        <f>SUMIFS(LinkFromProFormaIS!$F:$F,LinkFromProFormaIS!$I:$I,$D$121,LinkFromProFormaIS!$J:$J,S$118,LinkFromProFormaIS!$K:$K,$D125)</f>
        <v>0</v>
      </c>
      <c r="T125" s="31">
        <f>SUMIFS(LinkFromProFormaIS!$F:$F,LinkFromProFormaIS!$I:$I,$D$121,LinkFromProFormaIS!$J:$J,T$118,LinkFromProFormaIS!$K:$K,$D125)</f>
        <v>0</v>
      </c>
      <c r="U125" s="31">
        <f>SUMIFS(LinkFromProFormaIS!$F:$F,LinkFromProFormaIS!$I:$I,$D$121,LinkFromProFormaIS!$J:$J,U$118,LinkFromProFormaIS!$K:$K,$D125)</f>
        <v>0</v>
      </c>
      <c r="V125" s="31"/>
    </row>
    <row r="126" spans="2:22" x14ac:dyDescent="0.25">
      <c r="D126" s="2" t="s">
        <v>7143</v>
      </c>
      <c r="F126" s="31">
        <f t="shared" si="12"/>
        <v>3729305.3000000003</v>
      </c>
      <c r="G126" s="139"/>
      <c r="H126" s="31">
        <f>SUMIFS(LinkFromProFormaIS!$F:$F,LinkFromProFormaIS!$I:$I,$D$121,LinkFromProFormaIS!$J:$J,H$118,LinkFromProFormaIS!$K:$K,$D126)</f>
        <v>0</v>
      </c>
      <c r="I126" s="31">
        <f>SUMIFS(LinkFromProFormaIS!$F:$F,LinkFromProFormaIS!$I:$I,$D$121,LinkFromProFormaIS!$J:$J,I$118,LinkFromProFormaIS!$K:$K,$D126)</f>
        <v>0</v>
      </c>
      <c r="J126" s="31">
        <f>SUMIFS(LinkFromProFormaIS!$F:$F,LinkFromProFormaIS!$I:$I,$D$121,LinkFromProFormaIS!$J:$J,J$118,LinkFromProFormaIS!$K:$K,$D126)</f>
        <v>310088.64000000007</v>
      </c>
      <c r="K126" s="31">
        <f>SUMIFS(LinkFromProFormaIS!$F:$F,LinkFromProFormaIS!$I:$I,$D$121,LinkFromProFormaIS!$J:$J,K$118,LinkFromProFormaIS!$K:$K,$D126)</f>
        <v>1001323.78</v>
      </c>
      <c r="L126" s="31">
        <f>SUMIFS(LinkFromProFormaIS!$F:$F,LinkFromProFormaIS!$I:$I,$D$121,LinkFromProFormaIS!$J:$J,L$118,LinkFromProFormaIS!$K:$K,$D126)</f>
        <v>331329.05</v>
      </c>
      <c r="M126" s="31">
        <f>SUMIFS(LinkFromProFormaIS!$F:$F,LinkFromProFormaIS!$I:$I,$D$121,LinkFromProFormaIS!$J:$J,M$118,LinkFromProFormaIS!$K:$K,$D126)</f>
        <v>238110.96999999997</v>
      </c>
      <c r="N126" s="31">
        <f>SUMIFS(LinkFromProFormaIS!$F:$F,LinkFromProFormaIS!$I:$I,$D$121,LinkFromProFormaIS!$J:$J,N$118,LinkFromProFormaIS!$K:$K,$D126)</f>
        <v>0</v>
      </c>
      <c r="O126" s="31">
        <f>SUMIFS(LinkFromProFormaIS!$F:$F,LinkFromProFormaIS!$I:$I,$D$121,LinkFromProFormaIS!$J:$J,O$118,LinkFromProFormaIS!$K:$K,$D126)</f>
        <v>0</v>
      </c>
      <c r="P126" s="31">
        <f>SUMIFS(LinkFromProFormaIS!$F:$F,LinkFromProFormaIS!$I:$I,$D$121,LinkFromProFormaIS!$J:$J,P$118,LinkFromProFormaIS!$K:$K,$D126)</f>
        <v>0</v>
      </c>
      <c r="Q126" s="31">
        <f>SUMIFS(LinkFromProFormaIS!$F:$F,LinkFromProFormaIS!$I:$I,$D$121,LinkFromProFormaIS!$J:$J,Q$118,LinkFromProFormaIS!$K:$K,$D126)</f>
        <v>47836.03</v>
      </c>
      <c r="R126" s="31">
        <f>SUMIFS(LinkFromProFormaIS!$F:$F,LinkFromProFormaIS!$I:$I,$D$121,LinkFromProFormaIS!$J:$J,R$118,LinkFromProFormaIS!$K:$K,$D126)</f>
        <v>0</v>
      </c>
      <c r="S126" s="31">
        <f>SUMIFS(LinkFromProFormaIS!$F:$F,LinkFromProFormaIS!$I:$I,$D$121,LinkFromProFormaIS!$J:$J,S$118,LinkFromProFormaIS!$K:$K,$D126)</f>
        <v>995695.02999999991</v>
      </c>
      <c r="T126" s="31">
        <f>SUMIFS(LinkFromProFormaIS!$F:$F,LinkFromProFormaIS!$I:$I,$D$121,LinkFromProFormaIS!$J:$J,T$118,LinkFromProFormaIS!$K:$K,$D126)</f>
        <v>0</v>
      </c>
      <c r="U126" s="31">
        <f>SUMIFS(LinkFromProFormaIS!$F:$F,LinkFromProFormaIS!$I:$I,$D$121,LinkFromProFormaIS!$J:$J,U$118,LinkFromProFormaIS!$K:$K,$D126)</f>
        <v>804921.80000000028</v>
      </c>
      <c r="V126" s="31"/>
    </row>
    <row r="127" spans="2:22" x14ac:dyDescent="0.25">
      <c r="D127" s="2" t="s">
        <v>7680</v>
      </c>
      <c r="F127" s="31">
        <f t="shared" si="12"/>
        <v>120539</v>
      </c>
      <c r="G127" s="139"/>
      <c r="H127" s="31">
        <f>SUMIFS(LinkFromProFormaIS!$F:$F,LinkFromProFormaIS!$I:$I,$D$121,LinkFromProFormaIS!$J:$J,H$118,LinkFromProFormaIS!$K:$K,$D127)</f>
        <v>0</v>
      </c>
      <c r="I127" s="31">
        <f>SUMIFS(LinkFromProFormaIS!$F:$F,LinkFromProFormaIS!$I:$I,$D$121,LinkFromProFormaIS!$J:$J,I$118,LinkFromProFormaIS!$K:$K,$D127)</f>
        <v>0</v>
      </c>
      <c r="J127" s="31">
        <f>SUMIFS(LinkFromProFormaIS!$F:$F,LinkFromProFormaIS!$I:$I,$D$121,LinkFromProFormaIS!$J:$J,J$118,LinkFromProFormaIS!$K:$K,$D127)</f>
        <v>0</v>
      </c>
      <c r="K127" s="31">
        <f>SUMIFS(LinkFromProFormaIS!$F:$F,LinkFromProFormaIS!$I:$I,$D$121,LinkFromProFormaIS!$J:$J,K$118,LinkFromProFormaIS!$K:$K,$D127)</f>
        <v>0</v>
      </c>
      <c r="L127" s="31">
        <f>SUMIFS(LinkFromProFormaIS!$F:$F,LinkFromProFormaIS!$I:$I,$D$121,LinkFromProFormaIS!$J:$J,L$118,LinkFromProFormaIS!$K:$K,$D127)</f>
        <v>0</v>
      </c>
      <c r="M127" s="31">
        <f>SUMIFS(LinkFromProFormaIS!$F:$F,LinkFromProFormaIS!$I:$I,$D$121,LinkFromProFormaIS!$J:$J,M$118,LinkFromProFormaIS!$K:$K,$D127)</f>
        <v>0</v>
      </c>
      <c r="N127" s="31">
        <f>SUMIFS(LinkFromProFormaIS!$F:$F,LinkFromProFormaIS!$I:$I,$D$121,LinkFromProFormaIS!$J:$J,N$118,LinkFromProFormaIS!$K:$K,$D127)</f>
        <v>0</v>
      </c>
      <c r="O127" s="31">
        <f>SUMIFS(LinkFromProFormaIS!$F:$F,LinkFromProFormaIS!$I:$I,$D$121,LinkFromProFormaIS!$J:$J,O$118,LinkFromProFormaIS!$K:$K,$D127)</f>
        <v>0</v>
      </c>
      <c r="P127" s="31">
        <f>SUMIFS(LinkFromProFormaIS!$F:$F,LinkFromProFormaIS!$I:$I,$D$121,LinkFromProFormaIS!$J:$J,P$118,LinkFromProFormaIS!$K:$K,$D127)</f>
        <v>0</v>
      </c>
      <c r="Q127" s="31">
        <f>SUMIFS(LinkFromProFormaIS!$F:$F,LinkFromProFormaIS!$I:$I,$D$121,LinkFromProFormaIS!$J:$J,Q$118,LinkFromProFormaIS!$K:$K,$D127)</f>
        <v>0</v>
      </c>
      <c r="R127" s="31">
        <f>SUMIFS(LinkFromProFormaIS!$F:$F,LinkFromProFormaIS!$I:$I,$D$121,LinkFromProFormaIS!$J:$J,R$118,LinkFromProFormaIS!$K:$K,$D127)</f>
        <v>0</v>
      </c>
      <c r="S127" s="31">
        <f>SUMIFS(LinkFromProFormaIS!$F:$F,LinkFromProFormaIS!$I:$I,$D$121,LinkFromProFormaIS!$J:$J,S$118,LinkFromProFormaIS!$K:$K,$D127)</f>
        <v>0</v>
      </c>
      <c r="T127" s="31">
        <f>SUMIFS(LinkFromProFormaIS!$F:$F,LinkFromProFormaIS!$I:$I,$D$121,LinkFromProFormaIS!$J:$J,T$118,LinkFromProFormaIS!$K:$K,$D127)</f>
        <v>0</v>
      </c>
      <c r="U127" s="31">
        <f>SUMIFS(LinkFromProFormaIS!$F:$F,LinkFromProFormaIS!$I:$I,$D$121,LinkFromProFormaIS!$J:$J,U$118,LinkFromProFormaIS!$K:$K,$D127)</f>
        <v>120539</v>
      </c>
      <c r="V127" s="31"/>
    </row>
    <row r="128" spans="2:22" x14ac:dyDescent="0.25">
      <c r="D128" s="2" t="s">
        <v>7684</v>
      </c>
      <c r="F128" s="31">
        <f t="shared" si="12"/>
        <v>599913</v>
      </c>
      <c r="G128" s="139"/>
      <c r="H128" s="31">
        <f>SUMIFS(LinkFromProFormaIS!$F:$F,LinkFromProFormaIS!$I:$I,$D$121,LinkFromProFormaIS!$J:$J,H$118,LinkFromProFormaIS!$K:$K,$D128)</f>
        <v>0</v>
      </c>
      <c r="I128" s="31">
        <f>SUMIFS(LinkFromProFormaIS!$F:$F,LinkFromProFormaIS!$I:$I,$D$121,LinkFromProFormaIS!$J:$J,I$118,LinkFromProFormaIS!$K:$K,$D128)</f>
        <v>0</v>
      </c>
      <c r="J128" s="31">
        <f>SUMIFS(LinkFromProFormaIS!$F:$F,LinkFromProFormaIS!$I:$I,$D$121,LinkFromProFormaIS!$J:$J,J$118,LinkFromProFormaIS!$K:$K,$D128)</f>
        <v>0</v>
      </c>
      <c r="K128" s="31">
        <f>SUMIFS(LinkFromProFormaIS!$F:$F,LinkFromProFormaIS!$I:$I,$D$121,LinkFromProFormaIS!$J:$J,K$118,LinkFromProFormaIS!$K:$K,$D128)</f>
        <v>0</v>
      </c>
      <c r="L128" s="31">
        <f>SUMIFS(LinkFromProFormaIS!$F:$F,LinkFromProFormaIS!$I:$I,$D$121,LinkFromProFormaIS!$J:$J,L$118,LinkFromProFormaIS!$K:$K,$D128)</f>
        <v>0</v>
      </c>
      <c r="M128" s="31">
        <f>SUMIFS(LinkFromProFormaIS!$F:$F,LinkFromProFormaIS!$I:$I,$D$121,LinkFromProFormaIS!$J:$J,M$118,LinkFromProFormaIS!$K:$K,$D128)</f>
        <v>0</v>
      </c>
      <c r="N128" s="31">
        <f>SUMIFS(LinkFromProFormaIS!$F:$F,LinkFromProFormaIS!$I:$I,$D$121,LinkFromProFormaIS!$J:$J,N$118,LinkFromProFormaIS!$K:$K,$D128)</f>
        <v>0</v>
      </c>
      <c r="O128" s="31">
        <f>SUMIFS(LinkFromProFormaIS!$F:$F,LinkFromProFormaIS!$I:$I,$D$121,LinkFromProFormaIS!$J:$J,O$118,LinkFromProFormaIS!$K:$K,$D128)</f>
        <v>0</v>
      </c>
      <c r="P128" s="31">
        <f>SUMIFS(LinkFromProFormaIS!$F:$F,LinkFromProFormaIS!$I:$I,$D$121,LinkFromProFormaIS!$J:$J,P$118,LinkFromProFormaIS!$K:$K,$D128)</f>
        <v>0</v>
      </c>
      <c r="Q128" s="31">
        <f>SUMIFS(LinkFromProFormaIS!$F:$F,LinkFromProFormaIS!$I:$I,$D$121,LinkFromProFormaIS!$J:$J,Q$118,LinkFromProFormaIS!$K:$K,$D128)</f>
        <v>0</v>
      </c>
      <c r="R128" s="31">
        <f>SUMIFS(LinkFromProFormaIS!$F:$F,LinkFromProFormaIS!$I:$I,$D$121,LinkFromProFormaIS!$J:$J,R$118,LinkFromProFormaIS!$K:$K,$D128)</f>
        <v>0</v>
      </c>
      <c r="S128" s="31">
        <f>SUMIFS(LinkFromProFormaIS!$F:$F,LinkFromProFormaIS!$I:$I,$D$121,LinkFromProFormaIS!$J:$J,S$118,LinkFromProFormaIS!$K:$K,$D128)</f>
        <v>0</v>
      </c>
      <c r="T128" s="31">
        <f>SUMIFS(LinkFromProFormaIS!$F:$F,LinkFromProFormaIS!$I:$I,$D$121,LinkFromProFormaIS!$J:$J,T$118,LinkFromProFormaIS!$K:$K,$D128)</f>
        <v>0</v>
      </c>
      <c r="U128" s="31">
        <f>SUMIFS(LinkFromProFormaIS!$F:$F,LinkFromProFormaIS!$I:$I,$D$121,LinkFromProFormaIS!$J:$J,U$118,LinkFromProFormaIS!$K:$K,$D128)</f>
        <v>599913</v>
      </c>
      <c r="V128" s="31"/>
    </row>
    <row r="129" spans="4:23" x14ac:dyDescent="0.25">
      <c r="D129" s="2" t="s">
        <v>7691</v>
      </c>
      <c r="F129" s="31">
        <f t="shared" si="12"/>
        <v>373669</v>
      </c>
      <c r="G129" s="139"/>
      <c r="H129" s="31">
        <f>SUMIFS(LinkFromProFormaIS!$F:$F,LinkFromProFormaIS!$I:$I,$D$121,LinkFromProFormaIS!$J:$J,H$118,LinkFromProFormaIS!$K:$K,$D129)</f>
        <v>0</v>
      </c>
      <c r="I129" s="31">
        <f>SUMIFS(LinkFromProFormaIS!$F:$F,LinkFromProFormaIS!$I:$I,$D$121,LinkFromProFormaIS!$J:$J,I$118,LinkFromProFormaIS!$K:$K,$D129)</f>
        <v>0</v>
      </c>
      <c r="J129" s="31">
        <f>SUMIFS(LinkFromProFormaIS!$F:$F,LinkFromProFormaIS!$I:$I,$D$121,LinkFromProFormaIS!$J:$J,J$118,LinkFromProFormaIS!$K:$K,$D129)</f>
        <v>0</v>
      </c>
      <c r="K129" s="31">
        <f>SUMIFS(LinkFromProFormaIS!$F:$F,LinkFromProFormaIS!$I:$I,$D$121,LinkFromProFormaIS!$J:$J,K$118,LinkFromProFormaIS!$K:$K,$D129)</f>
        <v>353</v>
      </c>
      <c r="L129" s="31">
        <f>SUMIFS(LinkFromProFormaIS!$F:$F,LinkFromProFormaIS!$I:$I,$D$121,LinkFromProFormaIS!$J:$J,L$118,LinkFromProFormaIS!$K:$K,$D129)</f>
        <v>73</v>
      </c>
      <c r="M129" s="31">
        <f>SUMIFS(LinkFromProFormaIS!$F:$F,LinkFromProFormaIS!$I:$I,$D$121,LinkFromProFormaIS!$J:$J,M$118,LinkFromProFormaIS!$K:$K,$D129)</f>
        <v>0</v>
      </c>
      <c r="N129" s="31">
        <f>SUMIFS(LinkFromProFormaIS!$F:$F,LinkFromProFormaIS!$I:$I,$D$121,LinkFromProFormaIS!$J:$J,N$118,LinkFromProFormaIS!$K:$K,$D129)</f>
        <v>0</v>
      </c>
      <c r="O129" s="31">
        <f>SUMIFS(LinkFromProFormaIS!$F:$F,LinkFromProFormaIS!$I:$I,$D$121,LinkFromProFormaIS!$J:$J,O$118,LinkFromProFormaIS!$K:$K,$D129)</f>
        <v>0</v>
      </c>
      <c r="P129" s="31">
        <f>SUMIFS(LinkFromProFormaIS!$F:$F,LinkFromProFormaIS!$I:$I,$D$121,LinkFromProFormaIS!$J:$J,P$118,LinkFromProFormaIS!$K:$K,$D129)</f>
        <v>0</v>
      </c>
      <c r="Q129" s="31">
        <f>SUMIFS(LinkFromProFormaIS!$F:$F,LinkFromProFormaIS!$I:$I,$D$121,LinkFromProFormaIS!$J:$J,Q$118,LinkFromProFormaIS!$K:$K,$D129)</f>
        <v>0</v>
      </c>
      <c r="R129" s="31">
        <f>SUMIFS(LinkFromProFormaIS!$F:$F,LinkFromProFormaIS!$I:$I,$D$121,LinkFromProFormaIS!$J:$J,R$118,LinkFromProFormaIS!$K:$K,$D129)</f>
        <v>0</v>
      </c>
      <c r="S129" s="31">
        <f>SUMIFS(LinkFromProFormaIS!$F:$F,LinkFromProFormaIS!$I:$I,$D$121,LinkFromProFormaIS!$J:$J,S$118,LinkFromProFormaIS!$K:$K,$D129)</f>
        <v>146</v>
      </c>
      <c r="T129" s="31">
        <f>SUMIFS(LinkFromProFormaIS!$F:$F,LinkFromProFormaIS!$I:$I,$D$121,LinkFromProFormaIS!$J:$J,T$118,LinkFromProFormaIS!$K:$K,$D129)</f>
        <v>0</v>
      </c>
      <c r="U129" s="31">
        <f>SUMIFS(LinkFromProFormaIS!$F:$F,LinkFromProFormaIS!$I:$I,$D$121,LinkFromProFormaIS!$J:$J,U$118,LinkFromProFormaIS!$K:$K,$D129)</f>
        <v>373097</v>
      </c>
      <c r="V129" s="31"/>
    </row>
    <row r="130" spans="4:23" x14ac:dyDescent="0.25">
      <c r="D130" s="2" t="s">
        <v>8189</v>
      </c>
      <c r="F130" s="31">
        <f t="shared" ref="F130" si="13">SUM(H130:U130)</f>
        <v>3039942.1207074495</v>
      </c>
      <c r="G130" s="139"/>
      <c r="H130" s="31">
        <f>SUMIFS(LinkFromProFormaIS!$F:$F,LinkFromProFormaIS!$I:$I,$D$121,LinkFromProFormaIS!$J:$J,H$118,LinkFromProFormaIS!$K:$K,$D130)</f>
        <v>0</v>
      </c>
      <c r="I130" s="31">
        <f>SUMIFS(LinkFromProFormaIS!$F:$F,LinkFromProFormaIS!$I:$I,$D$121,LinkFromProFormaIS!$J:$J,I$118,LinkFromProFormaIS!$K:$K,$D130)</f>
        <v>0</v>
      </c>
      <c r="J130" s="31">
        <f>SUMIFS(LinkFromProFormaIS!$F:$F,LinkFromProFormaIS!$I:$I,$D$121,LinkFromProFormaIS!$J:$J,J$118,LinkFromProFormaIS!$K:$K,$D130)</f>
        <v>0</v>
      </c>
      <c r="K130" s="31">
        <f>SUMIFS(LinkFromProFormaIS!$F:$F,LinkFromProFormaIS!$I:$I,$D$121,LinkFromProFormaIS!$J:$J,K$118,LinkFromProFormaIS!$K:$K,$D130)</f>
        <v>0</v>
      </c>
      <c r="L130" s="31">
        <f>SUMIFS(LinkFromProFormaIS!$F:$F,LinkFromProFormaIS!$I:$I,$D$121,LinkFromProFormaIS!$J:$J,L$118,LinkFromProFormaIS!$K:$K,$D130)</f>
        <v>0</v>
      </c>
      <c r="M130" s="31">
        <f>SUMIFS(LinkFromProFormaIS!$F:$F,LinkFromProFormaIS!$I:$I,$D$121,LinkFromProFormaIS!$J:$J,M$118,LinkFromProFormaIS!$K:$K,$D130)</f>
        <v>0</v>
      </c>
      <c r="N130" s="31">
        <f>SUMIFS(LinkFromProFormaIS!$F:$F,LinkFromProFormaIS!$I:$I,$D$121,LinkFromProFormaIS!$J:$J,N$118,LinkFromProFormaIS!$K:$K,$D130)</f>
        <v>0</v>
      </c>
      <c r="O130" s="31">
        <f>SUMIFS(LinkFromProFormaIS!$F:$F,LinkFromProFormaIS!$I:$I,$D$121,LinkFromProFormaIS!$J:$J,O$118,LinkFromProFormaIS!$K:$K,$D130)</f>
        <v>0</v>
      </c>
      <c r="P130" s="31">
        <f>SUMIFS(LinkFromProFormaIS!$F:$F,LinkFromProFormaIS!$I:$I,$D$121,LinkFromProFormaIS!$J:$J,P$118,LinkFromProFormaIS!$K:$K,$D130)</f>
        <v>0</v>
      </c>
      <c r="Q130" s="31">
        <f>SUMIFS(LinkFromProFormaIS!$F:$F,LinkFromProFormaIS!$I:$I,$D$121,LinkFromProFormaIS!$J:$J,Q$118,LinkFromProFormaIS!$K:$K,$D130)</f>
        <v>0</v>
      </c>
      <c r="R130" s="31">
        <f>SUMIFS(LinkFromProFormaIS!$F:$F,LinkFromProFormaIS!$I:$I,$D$121,LinkFromProFormaIS!$J:$J,R$118,LinkFromProFormaIS!$K:$K,$D130)</f>
        <v>0</v>
      </c>
      <c r="S130" s="31">
        <f>SUMIFS(LinkFromProFormaIS!$F:$F,LinkFromProFormaIS!$I:$I,$D$121,LinkFromProFormaIS!$J:$J,S$118,LinkFromProFormaIS!$K:$K,$D130)</f>
        <v>0</v>
      </c>
      <c r="T130" s="31">
        <f>SUMIFS(LinkFromProFormaIS!$F:$F,LinkFromProFormaIS!$I:$I,$D$121,LinkFromProFormaIS!$J:$J,T$118,LinkFromProFormaIS!$K:$K,$D130)</f>
        <v>0</v>
      </c>
      <c r="U130" s="31">
        <f>SUMIFS(LinkFromProFormaIS!$F:$F,LinkFromProFormaIS!$I:$I,$D$121,LinkFromProFormaIS!$J:$J,U$118,LinkFromProFormaIS!$K:$K,$D130)</f>
        <v>3039942.1207074495</v>
      </c>
      <c r="V130" s="31"/>
    </row>
    <row r="131" spans="4:23" x14ac:dyDescent="0.25">
      <c r="D131" s="2" t="s">
        <v>8188</v>
      </c>
      <c r="F131" s="31">
        <f t="shared" si="12"/>
        <v>2495558.8792925505</v>
      </c>
      <c r="G131" s="139"/>
      <c r="H131" s="31">
        <f>SUMIFS(LinkFromProFormaIS!$F:$F,LinkFromProFormaIS!$I:$I,$D$121,LinkFromProFormaIS!$J:$J,H$118,LinkFromProFormaIS!$K:$K,$D131)</f>
        <v>0</v>
      </c>
      <c r="I131" s="31">
        <f>SUMIFS(LinkFromProFormaIS!$F:$F,LinkFromProFormaIS!$I:$I,$D$121,LinkFromProFormaIS!$J:$J,I$118,LinkFromProFormaIS!$K:$K,$D131)</f>
        <v>0</v>
      </c>
      <c r="J131" s="31">
        <f>SUMIFS(LinkFromProFormaIS!$F:$F,LinkFromProFormaIS!$I:$I,$D$121,LinkFromProFormaIS!$J:$J,J$118,LinkFromProFormaIS!$K:$K,$D131)</f>
        <v>0</v>
      </c>
      <c r="K131" s="31">
        <f>SUMIFS(LinkFromProFormaIS!$F:$F,LinkFromProFormaIS!$I:$I,$D$121,LinkFromProFormaIS!$J:$J,K$118,LinkFromProFormaIS!$K:$K,$D131)</f>
        <v>0</v>
      </c>
      <c r="L131" s="31">
        <f>SUMIFS(LinkFromProFormaIS!$F:$F,LinkFromProFormaIS!$I:$I,$D$121,LinkFromProFormaIS!$J:$J,L$118,LinkFromProFormaIS!$K:$K,$D131)</f>
        <v>0</v>
      </c>
      <c r="M131" s="31">
        <f>SUMIFS(LinkFromProFormaIS!$F:$F,LinkFromProFormaIS!$I:$I,$D$121,LinkFromProFormaIS!$J:$J,M$118,LinkFromProFormaIS!$K:$K,$D131)</f>
        <v>0</v>
      </c>
      <c r="N131" s="31">
        <f>SUMIFS(LinkFromProFormaIS!$F:$F,LinkFromProFormaIS!$I:$I,$D$121,LinkFromProFormaIS!$J:$J,N$118,LinkFromProFormaIS!$K:$K,$D131)</f>
        <v>0</v>
      </c>
      <c r="O131" s="31">
        <f>SUMIFS(LinkFromProFormaIS!$F:$F,LinkFromProFormaIS!$I:$I,$D$121,LinkFromProFormaIS!$J:$J,O$118,LinkFromProFormaIS!$K:$K,$D131)</f>
        <v>0</v>
      </c>
      <c r="P131" s="31">
        <f>SUMIFS(LinkFromProFormaIS!$F:$F,LinkFromProFormaIS!$I:$I,$D$121,LinkFromProFormaIS!$J:$J,P$118,LinkFromProFormaIS!$K:$K,$D131)</f>
        <v>0</v>
      </c>
      <c r="Q131" s="31">
        <f>SUMIFS(LinkFromProFormaIS!$F:$F,LinkFromProFormaIS!$I:$I,$D$121,LinkFromProFormaIS!$J:$J,Q$118,LinkFromProFormaIS!$K:$K,$D131)</f>
        <v>0</v>
      </c>
      <c r="R131" s="31">
        <f>SUMIFS(LinkFromProFormaIS!$F:$F,LinkFromProFormaIS!$I:$I,$D$121,LinkFromProFormaIS!$J:$J,R$118,LinkFromProFormaIS!$K:$K,$D131)</f>
        <v>0</v>
      </c>
      <c r="S131" s="31">
        <f>SUMIFS(LinkFromProFormaIS!$F:$F,LinkFromProFormaIS!$I:$I,$D$121,LinkFromProFormaIS!$J:$J,S$118,LinkFromProFormaIS!$K:$K,$D131)</f>
        <v>0</v>
      </c>
      <c r="T131" s="31">
        <f>SUMIFS(LinkFromProFormaIS!$F:$F,LinkFromProFormaIS!$I:$I,$D$121,LinkFromProFormaIS!$J:$J,T$118,LinkFromProFormaIS!$K:$K,$D131)</f>
        <v>0</v>
      </c>
      <c r="U131" s="31">
        <f>SUMIFS(LinkFromProFormaIS!$F:$F,LinkFromProFormaIS!$I:$I,$D$121,LinkFromProFormaIS!$J:$J,U$118,LinkFromProFormaIS!$K:$K,$D131)</f>
        <v>2495558.8792925505</v>
      </c>
      <c r="V131" s="31"/>
    </row>
    <row r="132" spans="4:23" x14ac:dyDescent="0.25">
      <c r="D132" s="2" t="s">
        <v>7725</v>
      </c>
      <c r="F132" s="31">
        <f t="shared" si="12"/>
        <v>323913</v>
      </c>
      <c r="G132" s="139"/>
      <c r="H132" s="31">
        <f>SUMIFS(LinkFromProFormaIS!$F:$F,LinkFromProFormaIS!$I:$I,$D$121,LinkFromProFormaIS!$J:$J,H$118,LinkFromProFormaIS!$K:$K,$D132)</f>
        <v>0</v>
      </c>
      <c r="I132" s="31">
        <f>SUMIFS(LinkFromProFormaIS!$F:$F,LinkFromProFormaIS!$I:$I,$D$121,LinkFromProFormaIS!$J:$J,I$118,LinkFromProFormaIS!$K:$K,$D132)</f>
        <v>6756</v>
      </c>
      <c r="J132" s="31">
        <f>SUMIFS(LinkFromProFormaIS!$F:$F,LinkFromProFormaIS!$I:$I,$D$121,LinkFromProFormaIS!$J:$J,J$118,LinkFromProFormaIS!$K:$K,$D132)</f>
        <v>1356</v>
      </c>
      <c r="K132" s="31">
        <f>SUMIFS(LinkFromProFormaIS!$F:$F,LinkFromProFormaIS!$I:$I,$D$121,LinkFromProFormaIS!$J:$J,K$118,LinkFromProFormaIS!$K:$K,$D132)</f>
        <v>0</v>
      </c>
      <c r="L132" s="31">
        <f>SUMIFS(LinkFromProFormaIS!$F:$F,LinkFromProFormaIS!$I:$I,$D$121,LinkFromProFormaIS!$J:$J,L$118,LinkFromProFormaIS!$K:$K,$D132)</f>
        <v>636</v>
      </c>
      <c r="M132" s="31">
        <f>SUMIFS(LinkFromProFormaIS!$F:$F,LinkFromProFormaIS!$I:$I,$D$121,LinkFromProFormaIS!$J:$J,M$118,LinkFromProFormaIS!$K:$K,$D132)</f>
        <v>0</v>
      </c>
      <c r="N132" s="31">
        <f>SUMIFS(LinkFromProFormaIS!$F:$F,LinkFromProFormaIS!$I:$I,$D$121,LinkFromProFormaIS!$J:$J,N$118,LinkFromProFormaIS!$K:$K,$D132)</f>
        <v>0</v>
      </c>
      <c r="O132" s="31">
        <f>SUMIFS(LinkFromProFormaIS!$F:$F,LinkFromProFormaIS!$I:$I,$D$121,LinkFromProFormaIS!$J:$J,O$118,LinkFromProFormaIS!$K:$K,$D132)</f>
        <v>0</v>
      </c>
      <c r="P132" s="31">
        <f>SUMIFS(LinkFromProFormaIS!$F:$F,LinkFromProFormaIS!$I:$I,$D$121,LinkFromProFormaIS!$J:$J,P$118,LinkFromProFormaIS!$K:$K,$D132)</f>
        <v>0</v>
      </c>
      <c r="Q132" s="31">
        <f>SUMIFS(LinkFromProFormaIS!$F:$F,LinkFromProFormaIS!$I:$I,$D$121,LinkFromProFormaIS!$J:$J,Q$118,LinkFromProFormaIS!$K:$K,$D132)</f>
        <v>0</v>
      </c>
      <c r="R132" s="31">
        <f>SUMIFS(LinkFromProFormaIS!$F:$F,LinkFromProFormaIS!$I:$I,$D$121,LinkFromProFormaIS!$J:$J,R$118,LinkFromProFormaIS!$K:$K,$D132)</f>
        <v>0</v>
      </c>
      <c r="S132" s="31">
        <f>SUMIFS(LinkFromProFormaIS!$F:$F,LinkFromProFormaIS!$I:$I,$D$121,LinkFromProFormaIS!$J:$J,S$118,LinkFromProFormaIS!$K:$K,$D132)</f>
        <v>624</v>
      </c>
      <c r="T132" s="31">
        <f>SUMIFS(LinkFromProFormaIS!$F:$F,LinkFromProFormaIS!$I:$I,$D$121,LinkFromProFormaIS!$J:$J,T$118,LinkFromProFormaIS!$K:$K,$D132)</f>
        <v>0</v>
      </c>
      <c r="U132" s="31">
        <f>SUMIFS(LinkFromProFormaIS!$F:$F,LinkFromProFormaIS!$I:$I,$D$121,LinkFromProFormaIS!$J:$J,U$118,LinkFromProFormaIS!$K:$K,$D132)</f>
        <v>314541</v>
      </c>
      <c r="V132" s="31"/>
    </row>
    <row r="133" spans="4:23" x14ac:dyDescent="0.25">
      <c r="D133" s="2" t="s">
        <v>7737</v>
      </c>
      <c r="F133" s="31">
        <f t="shared" si="12"/>
        <v>220544</v>
      </c>
      <c r="G133" s="139"/>
      <c r="H133" s="31">
        <f>SUMIFS(LinkFromProFormaIS!$F:$F,LinkFromProFormaIS!$I:$I,$D$121,LinkFromProFormaIS!$J:$J,H$118,LinkFromProFormaIS!$K:$K,$D133)</f>
        <v>0</v>
      </c>
      <c r="I133" s="31">
        <f>SUMIFS(LinkFromProFormaIS!$F:$F,LinkFromProFormaIS!$I:$I,$D$121,LinkFromProFormaIS!$J:$J,I$118,LinkFromProFormaIS!$K:$K,$D133)</f>
        <v>77144</v>
      </c>
      <c r="J133" s="31">
        <f>SUMIFS(LinkFromProFormaIS!$F:$F,LinkFromProFormaIS!$I:$I,$D$121,LinkFromProFormaIS!$J:$J,J$118,LinkFromProFormaIS!$K:$K,$D133)</f>
        <v>12048</v>
      </c>
      <c r="K133" s="31">
        <f>SUMIFS(LinkFromProFormaIS!$F:$F,LinkFromProFormaIS!$I:$I,$D$121,LinkFromProFormaIS!$J:$J,K$118,LinkFromProFormaIS!$K:$K,$D133)</f>
        <v>348</v>
      </c>
      <c r="L133" s="31">
        <f>SUMIFS(LinkFromProFormaIS!$F:$F,LinkFromProFormaIS!$I:$I,$D$121,LinkFromProFormaIS!$J:$J,L$118,LinkFromProFormaIS!$K:$K,$D133)</f>
        <v>42000</v>
      </c>
      <c r="M133" s="31">
        <f>SUMIFS(LinkFromProFormaIS!$F:$F,LinkFromProFormaIS!$I:$I,$D$121,LinkFromProFormaIS!$J:$J,M$118,LinkFromProFormaIS!$K:$K,$D133)</f>
        <v>0</v>
      </c>
      <c r="N133" s="31">
        <f>SUMIFS(LinkFromProFormaIS!$F:$F,LinkFromProFormaIS!$I:$I,$D$121,LinkFromProFormaIS!$J:$J,N$118,LinkFromProFormaIS!$K:$K,$D133)</f>
        <v>0</v>
      </c>
      <c r="O133" s="31">
        <f>SUMIFS(LinkFromProFormaIS!$F:$F,LinkFromProFormaIS!$I:$I,$D$121,LinkFromProFormaIS!$J:$J,O$118,LinkFromProFormaIS!$K:$K,$D133)</f>
        <v>0</v>
      </c>
      <c r="P133" s="31">
        <f>SUMIFS(LinkFromProFormaIS!$F:$F,LinkFromProFormaIS!$I:$I,$D$121,LinkFromProFormaIS!$J:$J,P$118,LinkFromProFormaIS!$K:$K,$D133)</f>
        <v>0</v>
      </c>
      <c r="Q133" s="31">
        <f>SUMIFS(LinkFromProFormaIS!$F:$F,LinkFromProFormaIS!$I:$I,$D$121,LinkFromProFormaIS!$J:$J,Q$118,LinkFromProFormaIS!$K:$K,$D133)</f>
        <v>0</v>
      </c>
      <c r="R133" s="31">
        <f>SUMIFS(LinkFromProFormaIS!$F:$F,LinkFromProFormaIS!$I:$I,$D$121,LinkFromProFormaIS!$J:$J,R$118,LinkFromProFormaIS!$K:$K,$D133)</f>
        <v>0</v>
      </c>
      <c r="S133" s="31">
        <f>SUMIFS(LinkFromProFormaIS!$F:$F,LinkFromProFormaIS!$I:$I,$D$121,LinkFromProFormaIS!$J:$J,S$118,LinkFromProFormaIS!$K:$K,$D133)</f>
        <v>120</v>
      </c>
      <c r="T133" s="31">
        <f>SUMIFS(LinkFromProFormaIS!$F:$F,LinkFromProFormaIS!$I:$I,$D$121,LinkFromProFormaIS!$J:$J,T$118,LinkFromProFormaIS!$K:$K,$D133)</f>
        <v>0</v>
      </c>
      <c r="U133" s="31">
        <f>SUMIFS(LinkFromProFormaIS!$F:$F,LinkFromProFormaIS!$I:$I,$D$121,LinkFromProFormaIS!$J:$J,U$118,LinkFromProFormaIS!$K:$K,$D133)</f>
        <v>88884</v>
      </c>
      <c r="V133" s="31"/>
    </row>
    <row r="134" spans="4:23" x14ac:dyDescent="0.25">
      <c r="D134" s="2" t="s">
        <v>7760</v>
      </c>
      <c r="F134" s="31">
        <f t="shared" si="12"/>
        <v>144092</v>
      </c>
      <c r="G134" s="139"/>
      <c r="H134" s="31">
        <f>SUMIFS(LinkFromProFormaIS!$F:$F,LinkFromProFormaIS!$I:$I,$D$121,LinkFromProFormaIS!$J:$J,H$118,LinkFromProFormaIS!$K:$K,$D134)</f>
        <v>0</v>
      </c>
      <c r="I134" s="31">
        <f>SUMIFS(LinkFromProFormaIS!$F:$F,LinkFromProFormaIS!$I:$I,$D$121,LinkFromProFormaIS!$J:$J,I$118,LinkFromProFormaIS!$K:$K,$D134)</f>
        <v>0</v>
      </c>
      <c r="J134" s="31">
        <f>SUMIFS(LinkFromProFormaIS!$F:$F,LinkFromProFormaIS!$I:$I,$D$121,LinkFromProFormaIS!$J:$J,J$118,LinkFromProFormaIS!$K:$K,$D134)</f>
        <v>14649</v>
      </c>
      <c r="K134" s="31">
        <f>SUMIFS(LinkFromProFormaIS!$F:$F,LinkFromProFormaIS!$I:$I,$D$121,LinkFromProFormaIS!$J:$J,K$118,LinkFromProFormaIS!$K:$K,$D134)</f>
        <v>0</v>
      </c>
      <c r="L134" s="31">
        <f>SUMIFS(LinkFromProFormaIS!$F:$F,LinkFromProFormaIS!$I:$I,$D$121,LinkFromProFormaIS!$J:$J,L$118,LinkFromProFormaIS!$K:$K,$D134)</f>
        <v>29210</v>
      </c>
      <c r="M134" s="31">
        <f>SUMIFS(LinkFromProFormaIS!$F:$F,LinkFromProFormaIS!$I:$I,$D$121,LinkFromProFormaIS!$J:$J,M$118,LinkFromProFormaIS!$K:$K,$D134)</f>
        <v>0</v>
      </c>
      <c r="N134" s="31">
        <f>SUMIFS(LinkFromProFormaIS!$F:$F,LinkFromProFormaIS!$I:$I,$D$121,LinkFromProFormaIS!$J:$J,N$118,LinkFromProFormaIS!$K:$K,$D134)</f>
        <v>0</v>
      </c>
      <c r="O134" s="31">
        <f>SUMIFS(LinkFromProFormaIS!$F:$F,LinkFromProFormaIS!$I:$I,$D$121,LinkFromProFormaIS!$J:$J,O$118,LinkFromProFormaIS!$K:$K,$D134)</f>
        <v>0</v>
      </c>
      <c r="P134" s="31">
        <f>SUMIFS(LinkFromProFormaIS!$F:$F,LinkFromProFormaIS!$I:$I,$D$121,LinkFromProFormaIS!$J:$J,P$118,LinkFromProFormaIS!$K:$K,$D134)</f>
        <v>0</v>
      </c>
      <c r="Q134" s="31">
        <f>SUMIFS(LinkFromProFormaIS!$F:$F,LinkFromProFormaIS!$I:$I,$D$121,LinkFromProFormaIS!$J:$J,Q$118,LinkFromProFormaIS!$K:$K,$D134)</f>
        <v>0</v>
      </c>
      <c r="R134" s="31">
        <f>SUMIFS(LinkFromProFormaIS!$F:$F,LinkFromProFormaIS!$I:$I,$D$121,LinkFromProFormaIS!$J:$J,R$118,LinkFromProFormaIS!$K:$K,$D134)</f>
        <v>0</v>
      </c>
      <c r="S134" s="31">
        <f>SUMIFS(LinkFromProFormaIS!$F:$F,LinkFromProFormaIS!$I:$I,$D$121,LinkFromProFormaIS!$J:$J,S$118,LinkFromProFormaIS!$K:$K,$D134)</f>
        <v>1307</v>
      </c>
      <c r="T134" s="31">
        <f>SUMIFS(LinkFromProFormaIS!$F:$F,LinkFromProFormaIS!$I:$I,$D$121,LinkFromProFormaIS!$J:$J,T$118,LinkFromProFormaIS!$K:$K,$D134)</f>
        <v>0</v>
      </c>
      <c r="U134" s="31">
        <f>SUMIFS(LinkFromProFormaIS!$F:$F,LinkFromProFormaIS!$I:$I,$D$121,LinkFromProFormaIS!$J:$J,U$118,LinkFromProFormaIS!$K:$K,$D134)</f>
        <v>98926</v>
      </c>
      <c r="V134" s="31"/>
    </row>
    <row r="135" spans="4:23" x14ac:dyDescent="0.25">
      <c r="D135" s="2" t="s">
        <v>7767</v>
      </c>
      <c r="F135" s="31">
        <f t="shared" si="12"/>
        <v>10587</v>
      </c>
      <c r="G135" s="139"/>
      <c r="H135" s="31">
        <f>SUMIFS(LinkFromProFormaIS!$F:$F,LinkFromProFormaIS!$I:$I,$D$121,LinkFromProFormaIS!$J:$J,H$118,LinkFromProFormaIS!$K:$K,$D135)</f>
        <v>0</v>
      </c>
      <c r="I135" s="31">
        <f>SUMIFS(LinkFromProFormaIS!$F:$F,LinkFromProFormaIS!$I:$I,$D$121,LinkFromProFormaIS!$J:$J,I$118,LinkFromProFormaIS!$K:$K,$D135)</f>
        <v>11</v>
      </c>
      <c r="J135" s="31">
        <f>SUMIFS(LinkFromProFormaIS!$F:$F,LinkFromProFormaIS!$I:$I,$D$121,LinkFromProFormaIS!$J:$J,J$118,LinkFromProFormaIS!$K:$K,$D135)</f>
        <v>4061</v>
      </c>
      <c r="K135" s="31">
        <f>SUMIFS(LinkFromProFormaIS!$F:$F,LinkFromProFormaIS!$I:$I,$D$121,LinkFromProFormaIS!$J:$J,K$118,LinkFromProFormaIS!$K:$K,$D135)</f>
        <v>0</v>
      </c>
      <c r="L135" s="31">
        <f>SUMIFS(LinkFromProFormaIS!$F:$F,LinkFromProFormaIS!$I:$I,$D$121,LinkFromProFormaIS!$J:$J,L$118,LinkFromProFormaIS!$K:$K,$D135)</f>
        <v>24</v>
      </c>
      <c r="M135" s="31">
        <f>SUMIFS(LinkFromProFormaIS!$F:$F,LinkFromProFormaIS!$I:$I,$D$121,LinkFromProFormaIS!$J:$J,M$118,LinkFromProFormaIS!$K:$K,$D135)</f>
        <v>0</v>
      </c>
      <c r="N135" s="31">
        <f>SUMIFS(LinkFromProFormaIS!$F:$F,LinkFromProFormaIS!$I:$I,$D$121,LinkFromProFormaIS!$J:$J,N$118,LinkFromProFormaIS!$K:$K,$D135)</f>
        <v>0</v>
      </c>
      <c r="O135" s="31">
        <f>SUMIFS(LinkFromProFormaIS!$F:$F,LinkFromProFormaIS!$I:$I,$D$121,LinkFromProFormaIS!$J:$J,O$118,LinkFromProFormaIS!$K:$K,$D135)</f>
        <v>0</v>
      </c>
      <c r="P135" s="31">
        <f>SUMIFS(LinkFromProFormaIS!$F:$F,LinkFromProFormaIS!$I:$I,$D$121,LinkFromProFormaIS!$J:$J,P$118,LinkFromProFormaIS!$K:$K,$D135)</f>
        <v>0</v>
      </c>
      <c r="Q135" s="31">
        <f>SUMIFS(LinkFromProFormaIS!$F:$F,LinkFromProFormaIS!$I:$I,$D$121,LinkFromProFormaIS!$J:$J,Q$118,LinkFromProFormaIS!$K:$K,$D135)</f>
        <v>0</v>
      </c>
      <c r="R135" s="31">
        <f>SUMIFS(LinkFromProFormaIS!$F:$F,LinkFromProFormaIS!$I:$I,$D$121,LinkFromProFormaIS!$J:$J,R$118,LinkFromProFormaIS!$K:$K,$D135)</f>
        <v>0</v>
      </c>
      <c r="S135" s="31">
        <f>SUMIFS(LinkFromProFormaIS!$F:$F,LinkFromProFormaIS!$I:$I,$D$121,LinkFromProFormaIS!$J:$J,S$118,LinkFromProFormaIS!$K:$K,$D135)</f>
        <v>0</v>
      </c>
      <c r="T135" s="31">
        <f>SUMIFS(LinkFromProFormaIS!$F:$F,LinkFromProFormaIS!$I:$I,$D$121,LinkFromProFormaIS!$J:$J,T$118,LinkFromProFormaIS!$K:$K,$D135)</f>
        <v>0</v>
      </c>
      <c r="U135" s="31">
        <f>SUMIFS(LinkFromProFormaIS!$F:$F,LinkFromProFormaIS!$I:$I,$D$121,LinkFromProFormaIS!$J:$J,U$118,LinkFromProFormaIS!$K:$K,$D135)</f>
        <v>6491</v>
      </c>
      <c r="V135" s="31"/>
    </row>
    <row r="136" spans="4:23" x14ac:dyDescent="0.25">
      <c r="D136" s="2" t="s">
        <v>7774</v>
      </c>
      <c r="F136" s="31">
        <f t="shared" si="12"/>
        <v>111394</v>
      </c>
      <c r="G136" s="139"/>
      <c r="H136" s="31">
        <f>SUMIFS(LinkFromProFormaIS!$F:$F,LinkFromProFormaIS!$I:$I,$D$121,LinkFromProFormaIS!$J:$J,H$118,LinkFromProFormaIS!$K:$K,$D136)</f>
        <v>0</v>
      </c>
      <c r="I136" s="31">
        <f>SUMIFS(LinkFromProFormaIS!$F:$F,LinkFromProFormaIS!$I:$I,$D$121,LinkFromProFormaIS!$J:$J,I$118,LinkFromProFormaIS!$K:$K,$D136)</f>
        <v>987</v>
      </c>
      <c r="J136" s="31">
        <f>SUMIFS(LinkFromProFormaIS!$F:$F,LinkFromProFormaIS!$I:$I,$D$121,LinkFromProFormaIS!$J:$J,J$118,LinkFromProFormaIS!$K:$K,$D136)</f>
        <v>205</v>
      </c>
      <c r="K136" s="31">
        <f>SUMIFS(LinkFromProFormaIS!$F:$F,LinkFromProFormaIS!$I:$I,$D$121,LinkFromProFormaIS!$J:$J,K$118,LinkFromProFormaIS!$K:$K,$D136)</f>
        <v>128</v>
      </c>
      <c r="L136" s="31">
        <f>SUMIFS(LinkFromProFormaIS!$F:$F,LinkFromProFormaIS!$I:$I,$D$121,LinkFromProFormaIS!$J:$J,L$118,LinkFromProFormaIS!$K:$K,$D136)</f>
        <v>36966</v>
      </c>
      <c r="M136" s="31">
        <f>SUMIFS(LinkFromProFormaIS!$F:$F,LinkFromProFormaIS!$I:$I,$D$121,LinkFromProFormaIS!$J:$J,M$118,LinkFromProFormaIS!$K:$K,$D136)</f>
        <v>0</v>
      </c>
      <c r="N136" s="31">
        <f>SUMIFS(LinkFromProFormaIS!$F:$F,LinkFromProFormaIS!$I:$I,$D$121,LinkFromProFormaIS!$J:$J,N$118,LinkFromProFormaIS!$K:$K,$D136)</f>
        <v>0</v>
      </c>
      <c r="O136" s="31">
        <f>SUMIFS(LinkFromProFormaIS!$F:$F,LinkFromProFormaIS!$I:$I,$D$121,LinkFromProFormaIS!$J:$J,O$118,LinkFromProFormaIS!$K:$K,$D136)</f>
        <v>0</v>
      </c>
      <c r="P136" s="31">
        <f>SUMIFS(LinkFromProFormaIS!$F:$F,LinkFromProFormaIS!$I:$I,$D$121,LinkFromProFormaIS!$J:$J,P$118,LinkFromProFormaIS!$K:$K,$D136)</f>
        <v>0</v>
      </c>
      <c r="Q136" s="31">
        <f>SUMIFS(LinkFromProFormaIS!$F:$F,LinkFromProFormaIS!$I:$I,$D$121,LinkFromProFormaIS!$J:$J,Q$118,LinkFromProFormaIS!$K:$K,$D136)</f>
        <v>0</v>
      </c>
      <c r="R136" s="31">
        <f>SUMIFS(LinkFromProFormaIS!$F:$F,LinkFromProFormaIS!$I:$I,$D$121,LinkFromProFormaIS!$J:$J,R$118,LinkFromProFormaIS!$K:$K,$D136)</f>
        <v>0</v>
      </c>
      <c r="S136" s="31">
        <f>SUMIFS(LinkFromProFormaIS!$F:$F,LinkFromProFormaIS!$I:$I,$D$121,LinkFromProFormaIS!$J:$J,S$118,LinkFromProFormaIS!$K:$K,$D136)</f>
        <v>2829</v>
      </c>
      <c r="T136" s="31">
        <f>SUMIFS(LinkFromProFormaIS!$F:$F,LinkFromProFormaIS!$I:$I,$D$121,LinkFromProFormaIS!$J:$J,T$118,LinkFromProFormaIS!$K:$K,$D136)</f>
        <v>0</v>
      </c>
      <c r="U136" s="31">
        <f>SUMIFS(LinkFromProFormaIS!$F:$F,LinkFromProFormaIS!$I:$I,$D$121,LinkFromProFormaIS!$J:$J,U$118,LinkFromProFormaIS!$K:$K,$D136)</f>
        <v>70279</v>
      </c>
      <c r="V136" s="31"/>
    </row>
    <row r="137" spans="4:23" x14ac:dyDescent="0.25">
      <c r="D137" s="2" t="s">
        <v>7794</v>
      </c>
      <c r="F137" s="31">
        <f t="shared" si="12"/>
        <v>140501</v>
      </c>
      <c r="G137" s="139"/>
      <c r="H137" s="31">
        <f>SUMIFS(LinkFromProFormaIS!$F:$F,LinkFromProFormaIS!$I:$I,$D$121,LinkFromProFormaIS!$J:$J,H$118,LinkFromProFormaIS!$K:$K,$D137)</f>
        <v>0</v>
      </c>
      <c r="I137" s="31">
        <f>SUMIFS(LinkFromProFormaIS!$F:$F,LinkFromProFormaIS!$I:$I,$D$121,LinkFromProFormaIS!$J:$J,I$118,LinkFromProFormaIS!$K:$K,$D137)</f>
        <v>0</v>
      </c>
      <c r="J137" s="31">
        <f>SUMIFS(LinkFromProFormaIS!$F:$F,LinkFromProFormaIS!$I:$I,$D$121,LinkFromProFormaIS!$J:$J,J$118,LinkFromProFormaIS!$K:$K,$D137)</f>
        <v>0</v>
      </c>
      <c r="K137" s="31">
        <f>SUMIFS(LinkFromProFormaIS!$F:$F,LinkFromProFormaIS!$I:$I,$D$121,LinkFromProFormaIS!$J:$J,K$118,LinkFromProFormaIS!$K:$K,$D137)</f>
        <v>0</v>
      </c>
      <c r="L137" s="31">
        <f>SUMIFS(LinkFromProFormaIS!$F:$F,LinkFromProFormaIS!$I:$I,$D$121,LinkFromProFormaIS!$J:$J,L$118,LinkFromProFormaIS!$K:$K,$D137)</f>
        <v>0</v>
      </c>
      <c r="M137" s="31">
        <f>SUMIFS(LinkFromProFormaIS!$F:$F,LinkFromProFormaIS!$I:$I,$D$121,LinkFromProFormaIS!$J:$J,M$118,LinkFromProFormaIS!$K:$K,$D137)</f>
        <v>0</v>
      </c>
      <c r="N137" s="31">
        <f>SUMIFS(LinkFromProFormaIS!$F:$F,LinkFromProFormaIS!$I:$I,$D$121,LinkFromProFormaIS!$J:$J,N$118,LinkFromProFormaIS!$K:$K,$D137)</f>
        <v>0</v>
      </c>
      <c r="O137" s="31">
        <f>SUMIFS(LinkFromProFormaIS!$F:$F,LinkFromProFormaIS!$I:$I,$D$121,LinkFromProFormaIS!$J:$J,O$118,LinkFromProFormaIS!$K:$K,$D137)</f>
        <v>0</v>
      </c>
      <c r="P137" s="31">
        <f>SUMIFS(LinkFromProFormaIS!$F:$F,LinkFromProFormaIS!$I:$I,$D$121,LinkFromProFormaIS!$J:$J,P$118,LinkFromProFormaIS!$K:$K,$D137)</f>
        <v>0</v>
      </c>
      <c r="Q137" s="31">
        <f>SUMIFS(LinkFromProFormaIS!$F:$F,LinkFromProFormaIS!$I:$I,$D$121,LinkFromProFormaIS!$J:$J,Q$118,LinkFromProFormaIS!$K:$K,$D137)</f>
        <v>0</v>
      </c>
      <c r="R137" s="31">
        <f>SUMIFS(LinkFromProFormaIS!$F:$F,LinkFromProFormaIS!$I:$I,$D$121,LinkFromProFormaIS!$J:$J,R$118,LinkFromProFormaIS!$K:$K,$D137)</f>
        <v>0</v>
      </c>
      <c r="S137" s="31">
        <f>SUMIFS(LinkFromProFormaIS!$F:$F,LinkFromProFormaIS!$I:$I,$D$121,LinkFromProFormaIS!$J:$J,S$118,LinkFromProFormaIS!$K:$K,$D137)</f>
        <v>0</v>
      </c>
      <c r="T137" s="31">
        <f>SUMIFS(LinkFromProFormaIS!$F:$F,LinkFromProFormaIS!$I:$I,$D$121,LinkFromProFormaIS!$J:$J,T$118,LinkFromProFormaIS!$K:$K,$D137)</f>
        <v>0</v>
      </c>
      <c r="U137" s="31">
        <f>SUMIFS(LinkFromProFormaIS!$F:$F,LinkFromProFormaIS!$I:$I,$D$121,LinkFromProFormaIS!$J:$J,U$118,LinkFromProFormaIS!$K:$K,$D137)</f>
        <v>140501</v>
      </c>
      <c r="V137" s="31"/>
    </row>
    <row r="138" spans="4:23" x14ac:dyDescent="0.25">
      <c r="D138" s="2" t="s">
        <v>7799</v>
      </c>
      <c r="F138" s="31">
        <f t="shared" si="12"/>
        <v>461845</v>
      </c>
      <c r="G138" s="139"/>
      <c r="H138" s="31">
        <f>SUMIFS(LinkFromProFormaIS!$F:$F,LinkFromProFormaIS!$I:$I,$D$121,LinkFromProFormaIS!$J:$J,H$118,LinkFromProFormaIS!$K:$K,$D138)</f>
        <v>0</v>
      </c>
      <c r="I138" s="31">
        <f>SUMIFS(LinkFromProFormaIS!$F:$F,LinkFromProFormaIS!$I:$I,$D$121,LinkFromProFormaIS!$J:$J,I$118,LinkFromProFormaIS!$K:$K,$D138)</f>
        <v>2772</v>
      </c>
      <c r="J138" s="31">
        <f>SUMIFS(LinkFromProFormaIS!$F:$F,LinkFromProFormaIS!$I:$I,$D$121,LinkFromProFormaIS!$J:$J,J$118,LinkFromProFormaIS!$K:$K,$D138)</f>
        <v>36696</v>
      </c>
      <c r="K138" s="31">
        <f>SUMIFS(LinkFromProFormaIS!$F:$F,LinkFromProFormaIS!$I:$I,$D$121,LinkFromProFormaIS!$J:$J,K$118,LinkFromProFormaIS!$K:$K,$D138)</f>
        <v>28848</v>
      </c>
      <c r="L138" s="31">
        <f>SUMIFS(LinkFromProFormaIS!$F:$F,LinkFromProFormaIS!$I:$I,$D$121,LinkFromProFormaIS!$J:$J,L$118,LinkFromProFormaIS!$K:$K,$D138)</f>
        <v>12072</v>
      </c>
      <c r="M138" s="31">
        <f>SUMIFS(LinkFromProFormaIS!$F:$F,LinkFromProFormaIS!$I:$I,$D$121,LinkFromProFormaIS!$J:$J,M$118,LinkFromProFormaIS!$K:$K,$D138)</f>
        <v>0</v>
      </c>
      <c r="N138" s="31">
        <f>SUMIFS(LinkFromProFormaIS!$F:$F,LinkFromProFormaIS!$I:$I,$D$121,LinkFromProFormaIS!$J:$J,N$118,LinkFromProFormaIS!$K:$K,$D138)</f>
        <v>0</v>
      </c>
      <c r="O138" s="31">
        <f>SUMIFS(LinkFromProFormaIS!$F:$F,LinkFromProFormaIS!$I:$I,$D$121,LinkFromProFormaIS!$J:$J,O$118,LinkFromProFormaIS!$K:$K,$D138)</f>
        <v>0</v>
      </c>
      <c r="P138" s="31">
        <f>SUMIFS(LinkFromProFormaIS!$F:$F,LinkFromProFormaIS!$I:$I,$D$121,LinkFromProFormaIS!$J:$J,P$118,LinkFromProFormaIS!$K:$K,$D138)</f>
        <v>2532</v>
      </c>
      <c r="Q138" s="31">
        <f>SUMIFS(LinkFromProFormaIS!$F:$F,LinkFromProFormaIS!$I:$I,$D$121,LinkFromProFormaIS!$J:$J,Q$118,LinkFromProFormaIS!$K:$K,$D138)</f>
        <v>0</v>
      </c>
      <c r="R138" s="31">
        <f>SUMIFS(LinkFromProFormaIS!$F:$F,LinkFromProFormaIS!$I:$I,$D$121,LinkFromProFormaIS!$J:$J,R$118,LinkFromProFormaIS!$K:$K,$D138)</f>
        <v>0</v>
      </c>
      <c r="S138" s="31">
        <f>SUMIFS(LinkFromProFormaIS!$F:$F,LinkFromProFormaIS!$I:$I,$D$121,LinkFromProFormaIS!$J:$J,S$118,LinkFromProFormaIS!$K:$K,$D138)</f>
        <v>87144</v>
      </c>
      <c r="T138" s="31">
        <f>SUMIFS(LinkFromProFormaIS!$F:$F,LinkFromProFormaIS!$I:$I,$D$121,LinkFromProFormaIS!$J:$J,T$118,LinkFromProFormaIS!$K:$K,$D138)</f>
        <v>0</v>
      </c>
      <c r="U138" s="31">
        <f>SUMIFS(LinkFromProFormaIS!$F:$F,LinkFromProFormaIS!$I:$I,$D$121,LinkFromProFormaIS!$J:$J,U$118,LinkFromProFormaIS!$K:$K,$D138)</f>
        <v>291781</v>
      </c>
      <c r="V138" s="31"/>
    </row>
    <row r="139" spans="4:23" x14ac:dyDescent="0.25">
      <c r="D139" s="2" t="s">
        <v>7145</v>
      </c>
      <c r="F139" s="31">
        <f t="shared" si="12"/>
        <v>229165</v>
      </c>
      <c r="G139" s="139"/>
      <c r="H139" s="31">
        <f>SUMIFS(LinkFromProFormaIS!$F:$F,LinkFromProFormaIS!$I:$I,$D$121,LinkFromProFormaIS!$J:$J,H$118,LinkFromProFormaIS!$K:$K,$D139)</f>
        <v>0</v>
      </c>
      <c r="I139" s="31">
        <f>SUMIFS(LinkFromProFormaIS!$F:$F,LinkFromProFormaIS!$I:$I,$D$121,LinkFromProFormaIS!$J:$J,I$118,LinkFromProFormaIS!$K:$K,$D139)</f>
        <v>2640</v>
      </c>
      <c r="J139" s="31">
        <f>SUMIFS(LinkFromProFormaIS!$F:$F,LinkFromProFormaIS!$I:$I,$D$121,LinkFromProFormaIS!$J:$J,J$118,LinkFromProFormaIS!$K:$K,$D139)</f>
        <v>0</v>
      </c>
      <c r="K139" s="31">
        <f>SUMIFS(LinkFromProFormaIS!$F:$F,LinkFromProFormaIS!$I:$I,$D$121,LinkFromProFormaIS!$J:$J,K$118,LinkFromProFormaIS!$K:$K,$D139)</f>
        <v>84</v>
      </c>
      <c r="L139" s="31">
        <f>SUMIFS(LinkFromProFormaIS!$F:$F,LinkFromProFormaIS!$I:$I,$D$121,LinkFromProFormaIS!$J:$J,L$118,LinkFromProFormaIS!$K:$K,$D139)</f>
        <v>0</v>
      </c>
      <c r="M139" s="31">
        <f>SUMIFS(LinkFromProFormaIS!$F:$F,LinkFromProFormaIS!$I:$I,$D$121,LinkFromProFormaIS!$J:$J,M$118,LinkFromProFormaIS!$K:$K,$D139)</f>
        <v>0</v>
      </c>
      <c r="N139" s="31">
        <f>SUMIFS(LinkFromProFormaIS!$F:$F,LinkFromProFormaIS!$I:$I,$D$121,LinkFromProFormaIS!$J:$J,N$118,LinkFromProFormaIS!$K:$K,$D139)</f>
        <v>0</v>
      </c>
      <c r="O139" s="31">
        <f>SUMIFS(LinkFromProFormaIS!$F:$F,LinkFromProFormaIS!$I:$I,$D$121,LinkFromProFormaIS!$J:$J,O$118,LinkFromProFormaIS!$K:$K,$D139)</f>
        <v>0</v>
      </c>
      <c r="P139" s="31">
        <f>SUMIFS(LinkFromProFormaIS!$F:$F,LinkFromProFormaIS!$I:$I,$D$121,LinkFromProFormaIS!$J:$J,P$118,LinkFromProFormaIS!$K:$K,$D139)</f>
        <v>0</v>
      </c>
      <c r="Q139" s="31">
        <f>SUMIFS(LinkFromProFormaIS!$F:$F,LinkFromProFormaIS!$I:$I,$D$121,LinkFromProFormaIS!$J:$J,Q$118,LinkFromProFormaIS!$K:$K,$D139)</f>
        <v>0</v>
      </c>
      <c r="R139" s="31">
        <f>SUMIFS(LinkFromProFormaIS!$F:$F,LinkFromProFormaIS!$I:$I,$D$121,LinkFromProFormaIS!$J:$J,R$118,LinkFromProFormaIS!$K:$K,$D139)</f>
        <v>0</v>
      </c>
      <c r="S139" s="31">
        <f>SUMIFS(LinkFromProFormaIS!$F:$F,LinkFromProFormaIS!$I:$I,$D$121,LinkFromProFormaIS!$J:$J,S$118,LinkFromProFormaIS!$K:$K,$D139)</f>
        <v>0</v>
      </c>
      <c r="T139" s="31">
        <f>SUMIFS(LinkFromProFormaIS!$F:$F,LinkFromProFormaIS!$I:$I,$D$121,LinkFromProFormaIS!$J:$J,T$118,LinkFromProFormaIS!$K:$K,$D139)</f>
        <v>0</v>
      </c>
      <c r="U139" s="31">
        <f>SUMIFS(LinkFromProFormaIS!$F:$F,LinkFromProFormaIS!$I:$I,$D$121,LinkFromProFormaIS!$J:$J,U$118,LinkFromProFormaIS!$K:$K,$D139)</f>
        <v>226441</v>
      </c>
      <c r="V139" s="31"/>
    </row>
    <row r="140" spans="4:23" x14ac:dyDescent="0.25">
      <c r="D140" s="2" t="s">
        <v>7836</v>
      </c>
      <c r="F140" s="31">
        <f t="shared" si="12"/>
        <v>204984</v>
      </c>
      <c r="G140" s="139"/>
      <c r="H140" s="31">
        <f>SUMIFS(LinkFromProFormaIS!$F:$F,LinkFromProFormaIS!$I:$I,$D$121,LinkFromProFormaIS!$J:$J,H$118,LinkFromProFormaIS!$K:$K,$D140)</f>
        <v>0</v>
      </c>
      <c r="I140" s="31">
        <f>SUMIFS(LinkFromProFormaIS!$F:$F,LinkFromProFormaIS!$I:$I,$D$121,LinkFromProFormaIS!$J:$J,I$118,LinkFromProFormaIS!$K:$K,$D140)</f>
        <v>0</v>
      </c>
      <c r="J140" s="31">
        <f>SUMIFS(LinkFromProFormaIS!$F:$F,LinkFromProFormaIS!$I:$I,$D$121,LinkFromProFormaIS!$J:$J,J$118,LinkFromProFormaIS!$K:$K,$D140)</f>
        <v>0</v>
      </c>
      <c r="K140" s="31">
        <f>SUMIFS(LinkFromProFormaIS!$F:$F,LinkFromProFormaIS!$I:$I,$D$121,LinkFromProFormaIS!$J:$J,K$118,LinkFromProFormaIS!$K:$K,$D140)</f>
        <v>0</v>
      </c>
      <c r="L140" s="31">
        <f>SUMIFS(LinkFromProFormaIS!$F:$F,LinkFromProFormaIS!$I:$I,$D$121,LinkFromProFormaIS!$J:$J,L$118,LinkFromProFormaIS!$K:$K,$D140)</f>
        <v>0</v>
      </c>
      <c r="M140" s="31">
        <f>SUMIFS(LinkFromProFormaIS!$F:$F,LinkFromProFormaIS!$I:$I,$D$121,LinkFromProFormaIS!$J:$J,M$118,LinkFromProFormaIS!$K:$K,$D140)</f>
        <v>0</v>
      </c>
      <c r="N140" s="31">
        <f>SUMIFS(LinkFromProFormaIS!$F:$F,LinkFromProFormaIS!$I:$I,$D$121,LinkFromProFormaIS!$J:$J,N$118,LinkFromProFormaIS!$K:$K,$D140)</f>
        <v>0</v>
      </c>
      <c r="O140" s="31">
        <f>SUMIFS(LinkFromProFormaIS!$F:$F,LinkFromProFormaIS!$I:$I,$D$121,LinkFromProFormaIS!$J:$J,O$118,LinkFromProFormaIS!$K:$K,$D140)</f>
        <v>0</v>
      </c>
      <c r="P140" s="31">
        <f>SUMIFS(LinkFromProFormaIS!$F:$F,LinkFromProFormaIS!$I:$I,$D$121,LinkFromProFormaIS!$J:$J,P$118,LinkFromProFormaIS!$K:$K,$D140)</f>
        <v>0</v>
      </c>
      <c r="Q140" s="31">
        <f>SUMIFS(LinkFromProFormaIS!$F:$F,LinkFromProFormaIS!$I:$I,$D$121,LinkFromProFormaIS!$J:$J,Q$118,LinkFromProFormaIS!$K:$K,$D140)</f>
        <v>0</v>
      </c>
      <c r="R140" s="31">
        <f>SUMIFS(LinkFromProFormaIS!$F:$F,LinkFromProFormaIS!$I:$I,$D$121,LinkFromProFormaIS!$J:$J,R$118,LinkFromProFormaIS!$K:$K,$D140)</f>
        <v>0</v>
      </c>
      <c r="S140" s="31">
        <f>SUMIFS(LinkFromProFormaIS!$F:$F,LinkFromProFormaIS!$I:$I,$D$121,LinkFromProFormaIS!$J:$J,S$118,LinkFromProFormaIS!$K:$K,$D140)</f>
        <v>0</v>
      </c>
      <c r="T140" s="31">
        <f>SUMIFS(LinkFromProFormaIS!$F:$F,LinkFromProFormaIS!$I:$I,$D$121,LinkFromProFormaIS!$J:$J,T$118,LinkFromProFormaIS!$K:$K,$D140)</f>
        <v>0</v>
      </c>
      <c r="U140" s="31">
        <f>SUMIFS(LinkFromProFormaIS!$F:$F,LinkFromProFormaIS!$I:$I,$D$121,LinkFromProFormaIS!$J:$J,U$118,LinkFromProFormaIS!$K:$K,$D140)</f>
        <v>204984</v>
      </c>
      <c r="V140" s="31"/>
    </row>
    <row r="141" spans="4:23" x14ac:dyDescent="0.25">
      <c r="D141" s="2" t="s">
        <v>7846</v>
      </c>
      <c r="F141" s="31">
        <f t="shared" si="12"/>
        <v>446456</v>
      </c>
      <c r="H141" s="31">
        <f>SUMIFS(LinkFromProFormaIS!$F:$F,LinkFromProFormaIS!$I:$I,$D$121,LinkFromProFormaIS!$J:$J,H$118,LinkFromProFormaIS!$K:$K,$D141)</f>
        <v>0</v>
      </c>
      <c r="I141" s="31">
        <f>SUMIFS(LinkFromProFormaIS!$F:$F,LinkFromProFormaIS!$I:$I,$D$121,LinkFromProFormaIS!$J:$J,I$118,LinkFromProFormaIS!$K:$K,$D141)</f>
        <v>0</v>
      </c>
      <c r="J141" s="31">
        <f>SUMIFS(LinkFromProFormaIS!$F:$F,LinkFromProFormaIS!$I:$I,$D$121,LinkFromProFormaIS!$J:$J,J$118,LinkFromProFormaIS!$K:$K,$D141)</f>
        <v>0</v>
      </c>
      <c r="K141" s="31">
        <f>SUMIFS(LinkFromProFormaIS!$F:$F,LinkFromProFormaIS!$I:$I,$D$121,LinkFromProFormaIS!$J:$J,K$118,LinkFromProFormaIS!$K:$K,$D141)</f>
        <v>0</v>
      </c>
      <c r="L141" s="31">
        <f>SUMIFS(LinkFromProFormaIS!$F:$F,LinkFromProFormaIS!$I:$I,$D$121,LinkFromProFormaIS!$J:$J,L$118,LinkFromProFormaIS!$K:$K,$D141)</f>
        <v>0</v>
      </c>
      <c r="M141" s="31">
        <f>SUMIFS(LinkFromProFormaIS!$F:$F,LinkFromProFormaIS!$I:$I,$D$121,LinkFromProFormaIS!$J:$J,M$118,LinkFromProFormaIS!$K:$K,$D141)</f>
        <v>0</v>
      </c>
      <c r="N141" s="31">
        <f>SUMIFS(LinkFromProFormaIS!$F:$F,LinkFromProFormaIS!$I:$I,$D$121,LinkFromProFormaIS!$J:$J,N$118,LinkFromProFormaIS!$K:$K,$D141)</f>
        <v>0</v>
      </c>
      <c r="O141" s="31">
        <f>SUMIFS(LinkFromProFormaIS!$F:$F,LinkFromProFormaIS!$I:$I,$D$121,LinkFromProFormaIS!$J:$J,O$118,LinkFromProFormaIS!$K:$K,$D141)</f>
        <v>0</v>
      </c>
      <c r="P141" s="31">
        <f>SUMIFS(LinkFromProFormaIS!$F:$F,LinkFromProFormaIS!$I:$I,$D$121,LinkFromProFormaIS!$J:$J,P$118,LinkFromProFormaIS!$K:$K,$D141)</f>
        <v>0</v>
      </c>
      <c r="Q141" s="31">
        <f>SUMIFS(LinkFromProFormaIS!$F:$F,LinkFromProFormaIS!$I:$I,$D$121,LinkFromProFormaIS!$J:$J,Q$118,LinkFromProFormaIS!$K:$K,$D141)</f>
        <v>0</v>
      </c>
      <c r="R141" s="31">
        <f>SUMIFS(LinkFromProFormaIS!$F:$F,LinkFromProFormaIS!$I:$I,$D$121,LinkFromProFormaIS!$J:$J,R$118,LinkFromProFormaIS!$K:$K,$D141)</f>
        <v>0</v>
      </c>
      <c r="S141" s="31">
        <f>SUMIFS(LinkFromProFormaIS!$F:$F,LinkFromProFormaIS!$I:$I,$D$121,LinkFromProFormaIS!$J:$J,S$118,LinkFromProFormaIS!$K:$K,$D141)</f>
        <v>444034</v>
      </c>
      <c r="T141" s="31">
        <f>SUMIFS(LinkFromProFormaIS!$F:$F,LinkFromProFormaIS!$I:$I,$D$121,LinkFromProFormaIS!$J:$J,T$118,LinkFromProFormaIS!$K:$K,$D141)</f>
        <v>0</v>
      </c>
      <c r="U141" s="31">
        <f>SUMIFS(LinkFromProFormaIS!$F:$F,LinkFromProFormaIS!$I:$I,$D$121,LinkFromProFormaIS!$J:$J,U$118,LinkFromProFormaIS!$K:$K,$D141)</f>
        <v>2422</v>
      </c>
      <c r="V141" s="31"/>
    </row>
    <row r="142" spans="4:23" x14ac:dyDescent="0.25">
      <c r="D142" s="2" t="s">
        <v>7849</v>
      </c>
      <c r="F142" s="31">
        <f t="shared" si="12"/>
        <v>80329</v>
      </c>
      <c r="H142" s="31">
        <f>SUMIFS(LinkFromProFormaIS!$F:$F,LinkFromProFormaIS!$I:$I,$D$121,LinkFromProFormaIS!$J:$J,H$118,LinkFromProFormaIS!$K:$K,$D142)</f>
        <v>0</v>
      </c>
      <c r="I142" s="31">
        <f>SUMIFS(LinkFromProFormaIS!$F:$F,LinkFromProFormaIS!$I:$I,$D$121,LinkFromProFormaIS!$J:$J,I$118,LinkFromProFormaIS!$K:$K,$D142)</f>
        <v>0</v>
      </c>
      <c r="J142" s="31">
        <f>SUMIFS(LinkFromProFormaIS!$F:$F,LinkFromProFormaIS!$I:$I,$D$121,LinkFromProFormaIS!$J:$J,J$118,LinkFromProFormaIS!$K:$K,$D142)</f>
        <v>0</v>
      </c>
      <c r="K142" s="31">
        <f>SUMIFS(LinkFromProFormaIS!$F:$F,LinkFromProFormaIS!$I:$I,$D$121,LinkFromProFormaIS!$J:$J,K$118,LinkFromProFormaIS!$K:$K,$D142)</f>
        <v>0</v>
      </c>
      <c r="L142" s="31">
        <f>SUMIFS(LinkFromProFormaIS!$F:$F,LinkFromProFormaIS!$I:$I,$D$121,LinkFromProFormaIS!$J:$J,L$118,LinkFromProFormaIS!$K:$K,$D142)</f>
        <v>0</v>
      </c>
      <c r="M142" s="31">
        <f>SUMIFS(LinkFromProFormaIS!$F:$F,LinkFromProFormaIS!$I:$I,$D$121,LinkFromProFormaIS!$J:$J,M$118,LinkFromProFormaIS!$K:$K,$D142)</f>
        <v>0</v>
      </c>
      <c r="N142" s="31">
        <f>SUMIFS(LinkFromProFormaIS!$F:$F,LinkFromProFormaIS!$I:$I,$D$121,LinkFromProFormaIS!$J:$J,N$118,LinkFromProFormaIS!$K:$K,$D142)</f>
        <v>0</v>
      </c>
      <c r="O142" s="31">
        <f>SUMIFS(LinkFromProFormaIS!$F:$F,LinkFromProFormaIS!$I:$I,$D$121,LinkFromProFormaIS!$J:$J,O$118,LinkFromProFormaIS!$K:$K,$D142)</f>
        <v>0</v>
      </c>
      <c r="P142" s="31">
        <f>SUMIFS(LinkFromProFormaIS!$F:$F,LinkFromProFormaIS!$I:$I,$D$121,LinkFromProFormaIS!$J:$J,P$118,LinkFromProFormaIS!$K:$K,$D142)</f>
        <v>0</v>
      </c>
      <c r="Q142" s="31">
        <f>SUMIFS(LinkFromProFormaIS!$F:$F,LinkFromProFormaIS!$I:$I,$D$121,LinkFromProFormaIS!$J:$J,Q$118,LinkFromProFormaIS!$K:$K,$D142)</f>
        <v>0</v>
      </c>
      <c r="R142" s="31">
        <f>SUMIFS(LinkFromProFormaIS!$F:$F,LinkFromProFormaIS!$I:$I,$D$121,LinkFromProFormaIS!$J:$J,R$118,LinkFromProFormaIS!$K:$K,$D142)</f>
        <v>0</v>
      </c>
      <c r="S142" s="31">
        <f>SUMIFS(LinkFromProFormaIS!$F:$F,LinkFromProFormaIS!$I:$I,$D$121,LinkFromProFormaIS!$J:$J,S$118,LinkFromProFormaIS!$K:$K,$D142)</f>
        <v>80329</v>
      </c>
      <c r="T142" s="31">
        <f>SUMIFS(LinkFromProFormaIS!$F:$F,LinkFromProFormaIS!$I:$I,$D$121,LinkFromProFormaIS!$J:$J,T$118,LinkFromProFormaIS!$K:$K,$D142)</f>
        <v>0</v>
      </c>
      <c r="U142" s="31">
        <f>SUMIFS(LinkFromProFormaIS!$F:$F,LinkFromProFormaIS!$I:$I,$D$121,LinkFromProFormaIS!$J:$J,U$118,LinkFromProFormaIS!$K:$K,$D142)</f>
        <v>0</v>
      </c>
      <c r="V142" s="31"/>
    </row>
    <row r="143" spans="4:23" x14ac:dyDescent="0.25">
      <c r="D143" s="2" t="s">
        <v>7857</v>
      </c>
      <c r="F143" s="31">
        <f t="shared" si="12"/>
        <v>0</v>
      </c>
      <c r="H143" s="31">
        <f>SUMIFS(LinkFromProFormaIS!$F:$F,LinkFromProFormaIS!$I:$I,$D$121,LinkFromProFormaIS!$J:$J,H$118,LinkFromProFormaIS!$K:$K,$D143)</f>
        <v>0</v>
      </c>
      <c r="I143" s="31">
        <f>SUMIFS(LinkFromProFormaIS!$F:$F,LinkFromProFormaIS!$I:$I,$D$121,LinkFromProFormaIS!$J:$J,I$118,LinkFromProFormaIS!$K:$K,$D143)</f>
        <v>0</v>
      </c>
      <c r="J143" s="31">
        <f>SUMIFS(LinkFromProFormaIS!$F:$F,LinkFromProFormaIS!$I:$I,$D$121,LinkFromProFormaIS!$J:$J,J$118,LinkFromProFormaIS!$K:$K,$D143)</f>
        <v>0</v>
      </c>
      <c r="K143" s="31">
        <f>SUMIFS(LinkFromProFormaIS!$F:$F,LinkFromProFormaIS!$I:$I,$D$121,LinkFromProFormaIS!$J:$J,K$118,LinkFromProFormaIS!$K:$K,$D143)</f>
        <v>0</v>
      </c>
      <c r="L143" s="31">
        <f>SUMIFS(LinkFromProFormaIS!$F:$F,LinkFromProFormaIS!$I:$I,$D$121,LinkFromProFormaIS!$J:$J,L$118,LinkFromProFormaIS!$K:$K,$D143)</f>
        <v>0</v>
      </c>
      <c r="M143" s="31">
        <f>SUMIFS(LinkFromProFormaIS!$F:$F,LinkFromProFormaIS!$I:$I,$D$121,LinkFromProFormaIS!$J:$J,M$118,LinkFromProFormaIS!$K:$K,$D143)</f>
        <v>0</v>
      </c>
      <c r="N143" s="31">
        <f>SUMIFS(LinkFromProFormaIS!$F:$F,LinkFromProFormaIS!$I:$I,$D$121,LinkFromProFormaIS!$J:$J,N$118,LinkFromProFormaIS!$K:$K,$D143)</f>
        <v>0</v>
      </c>
      <c r="O143" s="31">
        <f>SUMIFS(LinkFromProFormaIS!$F:$F,LinkFromProFormaIS!$I:$I,$D$121,LinkFromProFormaIS!$J:$J,O$118,LinkFromProFormaIS!$K:$K,$D143)</f>
        <v>0</v>
      </c>
      <c r="P143" s="31">
        <f>SUMIFS(LinkFromProFormaIS!$F:$F,LinkFromProFormaIS!$I:$I,$D$121,LinkFromProFormaIS!$J:$J,P$118,LinkFromProFormaIS!$K:$K,$D143)</f>
        <v>0</v>
      </c>
      <c r="Q143" s="31">
        <f>SUMIFS(LinkFromProFormaIS!$F:$F,LinkFromProFormaIS!$I:$I,$D$121,LinkFromProFormaIS!$J:$J,Q$118,LinkFromProFormaIS!$K:$K,$D143)</f>
        <v>0</v>
      </c>
      <c r="R143" s="31">
        <f>SUMIFS(LinkFromProFormaIS!$F:$F,LinkFromProFormaIS!$I:$I,$D$121,LinkFromProFormaIS!$J:$J,R$118,LinkFromProFormaIS!$K:$K,$D143)</f>
        <v>0</v>
      </c>
      <c r="S143" s="31">
        <f>SUMIFS(LinkFromProFormaIS!$F:$F,LinkFromProFormaIS!$I:$I,$D$121,LinkFromProFormaIS!$J:$J,S$118,LinkFromProFormaIS!$K:$K,$D143)</f>
        <v>0</v>
      </c>
      <c r="T143" s="31">
        <f>SUMIFS(LinkFromProFormaIS!$F:$F,LinkFromProFormaIS!$I:$I,$D$121,LinkFromProFormaIS!$J:$J,T$118,LinkFromProFormaIS!$K:$K,$D143)</f>
        <v>0</v>
      </c>
      <c r="U143" s="31">
        <f>SUMIFS(LinkFromProFormaIS!$F:$F,LinkFromProFormaIS!$I:$I,$D$121,LinkFromProFormaIS!$J:$J,U$118,LinkFromProFormaIS!$K:$K,$D143)</f>
        <v>0</v>
      </c>
      <c r="V143" s="31"/>
    </row>
    <row r="144" spans="4:23" x14ac:dyDescent="0.25">
      <c r="D144" s="2" t="s">
        <v>7860</v>
      </c>
      <c r="F144" s="31">
        <f t="shared" si="12"/>
        <v>496917</v>
      </c>
      <c r="H144" s="31">
        <f>SUMIFS(LinkFromProFormaIS!$F:$F,LinkFromProFormaIS!$I:$I,$D$121,LinkFromProFormaIS!$J:$J,H$118,LinkFromProFormaIS!$K:$K,$D144)</f>
        <v>0</v>
      </c>
      <c r="I144" s="31">
        <f>SUMIFS(LinkFromProFormaIS!$F:$F,LinkFromProFormaIS!$I:$I,$D$121,LinkFromProFormaIS!$J:$J,I$118,LinkFromProFormaIS!$K:$K,$D144)</f>
        <v>0</v>
      </c>
      <c r="J144" s="31">
        <f>SUMIFS(LinkFromProFormaIS!$F:$F,LinkFromProFormaIS!$I:$I,$D$121,LinkFromProFormaIS!$J:$J,J$118,LinkFromProFormaIS!$K:$K,$D144)</f>
        <v>0</v>
      </c>
      <c r="K144" s="31">
        <f>SUMIFS(LinkFromProFormaIS!$F:$F,LinkFromProFormaIS!$I:$I,$D$121,LinkFromProFormaIS!$J:$J,K$118,LinkFromProFormaIS!$K:$K,$D144)</f>
        <v>0</v>
      </c>
      <c r="L144" s="31">
        <f>SUMIFS(LinkFromProFormaIS!$F:$F,LinkFromProFormaIS!$I:$I,$D$121,LinkFromProFormaIS!$J:$J,L$118,LinkFromProFormaIS!$K:$K,$D144)</f>
        <v>0</v>
      </c>
      <c r="M144" s="31">
        <f>SUMIFS(LinkFromProFormaIS!$F:$F,LinkFromProFormaIS!$I:$I,$D$121,LinkFromProFormaIS!$J:$J,M$118,LinkFromProFormaIS!$K:$K,$D144)</f>
        <v>0</v>
      </c>
      <c r="N144" s="31">
        <f>SUMIFS(LinkFromProFormaIS!$F:$F,LinkFromProFormaIS!$I:$I,$D$121,LinkFromProFormaIS!$J:$J,N$118,LinkFromProFormaIS!$K:$K,$D144)</f>
        <v>0</v>
      </c>
      <c r="O144" s="31">
        <f>SUMIFS(LinkFromProFormaIS!$F:$F,LinkFromProFormaIS!$I:$I,$D$121,LinkFromProFormaIS!$J:$J,O$118,LinkFromProFormaIS!$K:$K,$D144)</f>
        <v>0</v>
      </c>
      <c r="P144" s="31">
        <f>SUMIFS(LinkFromProFormaIS!$F:$F,LinkFromProFormaIS!$I:$I,$D$121,LinkFromProFormaIS!$J:$J,P$118,LinkFromProFormaIS!$K:$K,$D144)</f>
        <v>0</v>
      </c>
      <c r="Q144" s="31">
        <f>SUMIFS(LinkFromProFormaIS!$F:$F,LinkFromProFormaIS!$I:$I,$D$121,LinkFromProFormaIS!$J:$J,Q$118,LinkFromProFormaIS!$K:$K,$D144)</f>
        <v>0</v>
      </c>
      <c r="R144" s="31">
        <f>SUMIFS(LinkFromProFormaIS!$F:$F,LinkFromProFormaIS!$I:$I,$D$121,LinkFromProFormaIS!$J:$J,R$118,LinkFromProFormaIS!$K:$K,$D144)</f>
        <v>0</v>
      </c>
      <c r="S144" s="31">
        <f>SUMIFS(LinkFromProFormaIS!$F:$F,LinkFromProFormaIS!$I:$I,$D$121,LinkFromProFormaIS!$J:$J,S$118,LinkFromProFormaIS!$K:$K,$D144)</f>
        <v>0</v>
      </c>
      <c r="T144" s="31">
        <f>SUMIFS(LinkFromProFormaIS!$F:$F,LinkFromProFormaIS!$I:$I,$D$121,LinkFromProFormaIS!$J:$J,T$118,LinkFromProFormaIS!$K:$K,$D144)</f>
        <v>0</v>
      </c>
      <c r="U144" s="31">
        <f>SUMIFS(LinkFromProFormaIS!$F:$F,LinkFromProFormaIS!$I:$I,$D$121,LinkFromProFormaIS!$J:$J,U$118,LinkFromProFormaIS!$K:$K,$D144)</f>
        <v>496917</v>
      </c>
      <c r="V144" s="31"/>
      <c r="W144"/>
    </row>
    <row r="145" spans="4:23" x14ac:dyDescent="0.25">
      <c r="F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/>
    </row>
    <row r="146" spans="4:23" ht="15.75" thickBot="1" x14ac:dyDescent="0.3">
      <c r="D146" s="18" t="s">
        <v>6971</v>
      </c>
      <c r="F146" s="50">
        <f>SUM(F122:F145)</f>
        <v>16031844.300000001</v>
      </c>
      <c r="G146" s="188"/>
      <c r="H146" s="43">
        <f t="shared" ref="H146:U146" si="14">SUM(H122:H145)</f>
        <v>0</v>
      </c>
      <c r="I146" s="43">
        <f t="shared" si="14"/>
        <v>265094.38112377655</v>
      </c>
      <c r="J146" s="43">
        <f t="shared" si="14"/>
        <v>1934655.6400000001</v>
      </c>
      <c r="K146" s="43">
        <f t="shared" si="14"/>
        <v>2089473.180414746</v>
      </c>
      <c r="L146" s="167">
        <f t="shared" si="14"/>
        <v>463513.22702320729</v>
      </c>
      <c r="M146" s="167">
        <f t="shared" si="14"/>
        <v>238110.96999999997</v>
      </c>
      <c r="N146" s="167">
        <f t="shared" si="14"/>
        <v>0</v>
      </c>
      <c r="O146" s="167">
        <f t="shared" si="14"/>
        <v>0</v>
      </c>
      <c r="P146" s="43">
        <f t="shared" si="14"/>
        <v>2532</v>
      </c>
      <c r="Q146" s="43">
        <f t="shared" si="14"/>
        <v>47836.03</v>
      </c>
      <c r="R146" s="43">
        <f t="shared" si="14"/>
        <v>0</v>
      </c>
      <c r="S146" s="43">
        <f t="shared" si="14"/>
        <v>1612228.0299999998</v>
      </c>
      <c r="T146" s="43">
        <f t="shared" si="14"/>
        <v>0</v>
      </c>
      <c r="U146" s="43">
        <f t="shared" si="14"/>
        <v>9378400.8414382711</v>
      </c>
      <c r="V146" s="31"/>
      <c r="W146"/>
    </row>
    <row r="147" spans="4:23" x14ac:dyDescent="0.25">
      <c r="G147" s="189"/>
      <c r="H147" s="31"/>
      <c r="I147" s="31"/>
      <c r="J147" s="31"/>
      <c r="K147" s="31"/>
      <c r="L147" s="62"/>
      <c r="M147" s="62"/>
      <c r="N147" s="62"/>
      <c r="O147" s="62"/>
      <c r="P147" s="31"/>
      <c r="Q147" s="31"/>
      <c r="R147" s="31"/>
      <c r="S147" s="31"/>
      <c r="T147" s="31"/>
      <c r="U147" s="31"/>
      <c r="V147" s="31"/>
      <c r="W147"/>
    </row>
    <row r="148" spans="4:23" x14ac:dyDescent="0.25">
      <c r="D148" s="1" t="s">
        <v>8</v>
      </c>
      <c r="H148" s="31"/>
      <c r="I148" s="31"/>
      <c r="J148" s="31"/>
      <c r="K148" s="31"/>
      <c r="L148" s="62"/>
      <c r="M148" s="62"/>
      <c r="N148" s="62"/>
      <c r="O148" s="62"/>
      <c r="P148" s="31"/>
      <c r="Q148" s="31"/>
      <c r="R148" s="31"/>
      <c r="S148" s="31"/>
      <c r="T148" s="31"/>
      <c r="U148" s="31"/>
      <c r="V148" s="31"/>
      <c r="W148"/>
    </row>
    <row r="149" spans="4:23" x14ac:dyDescent="0.25">
      <c r="D149" s="2" t="s">
        <v>7619</v>
      </c>
      <c r="F149" s="31">
        <f>SUM(H149:U149)</f>
        <v>909000.7</v>
      </c>
      <c r="H149" s="31">
        <f>SUMIFS(LinkFromProFormaIS!$F:$F,LinkFromProFormaIS!$I:$I,$D$148,LinkFromProFormaIS!$J:$J,H$118,LinkFromProFormaIS!$K:$K,$D149)</f>
        <v>0</v>
      </c>
      <c r="I149" s="31">
        <f>SUMIFS(LinkFromProFormaIS!$F:$F,LinkFromProFormaIS!$I:$I,$D$148,LinkFromProFormaIS!$J:$J,I$118,LinkFromProFormaIS!$K:$K,$D149)</f>
        <v>0</v>
      </c>
      <c r="J149" s="31">
        <f>SUMIFS(LinkFromProFormaIS!$F:$F,LinkFromProFormaIS!$I:$I,$D$148,LinkFromProFormaIS!$J:$J,J$118,LinkFromProFormaIS!$K:$K,$D149)</f>
        <v>303156.56000000006</v>
      </c>
      <c r="K149" s="31">
        <f>SUMIFS(LinkFromProFormaIS!$F:$F,LinkFromProFormaIS!$I:$I,$D$148,LinkFromProFormaIS!$J:$J,K$118,LinkFromProFormaIS!$K:$K,$D149)</f>
        <v>42626.58</v>
      </c>
      <c r="L149" s="31">
        <f>SUMIFS(LinkFromProFormaIS!$F:$F,LinkFromProFormaIS!$I:$I,$D$148,LinkFromProFormaIS!$J:$J,L$118,LinkFromProFormaIS!$K:$K,$D149)</f>
        <v>0</v>
      </c>
      <c r="M149" s="31">
        <f>SUMIFS(LinkFromProFormaIS!$F:$F,LinkFromProFormaIS!$I:$I,$D$148,LinkFromProFormaIS!$J:$J,M$118,LinkFromProFormaIS!$K:$K,$D149)</f>
        <v>241109.11</v>
      </c>
      <c r="N149" s="31">
        <f>SUMIFS(LinkFromProFormaIS!$F:$F,LinkFromProFormaIS!$I:$I,$D$148,LinkFromProFormaIS!$J:$J,N$118,LinkFromProFormaIS!$K:$K,$D149)</f>
        <v>0</v>
      </c>
      <c r="O149" s="31">
        <f>SUMIFS(LinkFromProFormaIS!$F:$F,LinkFromProFormaIS!$I:$I,$D$148,LinkFromProFormaIS!$J:$J,O$118,LinkFromProFormaIS!$K:$K,$D149)</f>
        <v>0</v>
      </c>
      <c r="P149" s="31">
        <f>SUMIFS(LinkFromProFormaIS!$F:$F,LinkFromProFormaIS!$I:$I,$D$148,LinkFromProFormaIS!$J:$J,P$118,LinkFromProFormaIS!$K:$K,$D149)</f>
        <v>0</v>
      </c>
      <c r="Q149" s="31">
        <f>SUMIFS(LinkFromProFormaIS!$F:$F,LinkFromProFormaIS!$I:$I,$D$148,LinkFromProFormaIS!$J:$J,Q$118,LinkFromProFormaIS!$K:$K,$D149)</f>
        <v>0</v>
      </c>
      <c r="R149" s="31">
        <f>SUMIFS(LinkFromProFormaIS!$F:$F,LinkFromProFormaIS!$I:$I,$D$148,LinkFromProFormaIS!$J:$J,R$118,LinkFromProFormaIS!$K:$K,$D149)</f>
        <v>8296.4500000000007</v>
      </c>
      <c r="S149" s="31">
        <f>SUMIFS(LinkFromProFormaIS!$F:$F,LinkFromProFormaIS!$I:$I,$D$148,LinkFromProFormaIS!$J:$J,S$118,LinkFromProFormaIS!$K:$K,$D149)</f>
        <v>0</v>
      </c>
      <c r="T149" s="31">
        <f>SUMIFS(LinkFromProFormaIS!$F:$F,LinkFromProFormaIS!$I:$I,$D$148,LinkFromProFormaIS!$J:$J,T$118,LinkFromProFormaIS!$K:$K,$D149)</f>
        <v>313812</v>
      </c>
      <c r="U149" s="31">
        <f>SUMIFS(LinkFromProFormaIS!$F:$F,LinkFromProFormaIS!$I:$I,$D$148,LinkFromProFormaIS!$J:$J,U$118,LinkFromProFormaIS!$K:$K,$D149)</f>
        <v>0</v>
      </c>
      <c r="V149" s="31"/>
      <c r="W149"/>
    </row>
    <row r="150" spans="4:23" x14ac:dyDescent="0.25">
      <c r="D150" s="2" t="s">
        <v>7868</v>
      </c>
      <c r="F150" s="31">
        <f t="shared" ref="F150" si="15">SUM(H150:U150)</f>
        <v>1348225</v>
      </c>
      <c r="H150" s="31">
        <f>SUMIFS(LinkFromProFormaIS!$F:$F,LinkFromProFormaIS!$I:$I,$D$148,LinkFromProFormaIS!$J:$J,H$118,LinkFromProFormaIS!$K:$K,$D150)</f>
        <v>0</v>
      </c>
      <c r="I150" s="31">
        <f>SUMIFS(LinkFromProFormaIS!$F:$F,LinkFromProFormaIS!$I:$I,$D$148,LinkFromProFormaIS!$J:$J,I$118,LinkFromProFormaIS!$K:$K,$D150)</f>
        <v>40212</v>
      </c>
      <c r="J150" s="31">
        <f>SUMIFS(LinkFromProFormaIS!$F:$F,LinkFromProFormaIS!$I:$I,$D$148,LinkFromProFormaIS!$J:$J,J$118,LinkFromProFormaIS!$K:$K,$D150)</f>
        <v>28056</v>
      </c>
      <c r="K150" s="31">
        <f>SUMIFS(LinkFromProFormaIS!$F:$F,LinkFromProFormaIS!$I:$I,$D$148,LinkFromProFormaIS!$J:$J,K$118,LinkFromProFormaIS!$K:$K,$D150)</f>
        <v>3312</v>
      </c>
      <c r="L150" s="31">
        <f>SUMIFS(LinkFromProFormaIS!$F:$F,LinkFromProFormaIS!$I:$I,$D$148,LinkFromProFormaIS!$J:$J,L$118,LinkFromProFormaIS!$K:$K,$D150)</f>
        <v>1208343</v>
      </c>
      <c r="M150" s="31">
        <f>SUMIFS(LinkFromProFormaIS!$F:$F,LinkFromProFormaIS!$I:$I,$D$148,LinkFromProFormaIS!$J:$J,M$118,LinkFromProFormaIS!$K:$K,$D150)</f>
        <v>53100</v>
      </c>
      <c r="N150" s="31">
        <f>SUMIFS(LinkFromProFormaIS!$F:$F,LinkFromProFormaIS!$I:$I,$D$148,LinkFromProFormaIS!$J:$J,N$118,LinkFromProFormaIS!$K:$K,$D150)</f>
        <v>0</v>
      </c>
      <c r="O150" s="31">
        <f>SUMIFS(LinkFromProFormaIS!$F:$F,LinkFromProFormaIS!$I:$I,$D$148,LinkFromProFormaIS!$J:$J,O$118,LinkFromProFormaIS!$K:$K,$D150)</f>
        <v>0</v>
      </c>
      <c r="P150" s="31">
        <f>SUMIFS(LinkFromProFormaIS!$F:$F,LinkFromProFormaIS!$I:$I,$D$148,LinkFromProFormaIS!$J:$J,P$118,LinkFromProFormaIS!$K:$K,$D150)</f>
        <v>0</v>
      </c>
      <c r="Q150" s="31">
        <f>SUMIFS(LinkFromProFormaIS!$F:$F,LinkFromProFormaIS!$I:$I,$D$148,LinkFromProFormaIS!$J:$J,Q$118,LinkFromProFormaIS!$K:$K,$D150)</f>
        <v>0</v>
      </c>
      <c r="R150" s="31">
        <f>SUMIFS(LinkFromProFormaIS!$F:$F,LinkFromProFormaIS!$I:$I,$D$148,LinkFromProFormaIS!$J:$J,R$118,LinkFromProFormaIS!$K:$K,$D150)</f>
        <v>144</v>
      </c>
      <c r="S150" s="31">
        <f>SUMIFS(LinkFromProFormaIS!$F:$F,LinkFromProFormaIS!$I:$I,$D$148,LinkFromProFormaIS!$J:$J,S$118,LinkFromProFormaIS!$K:$K,$D150)</f>
        <v>0</v>
      </c>
      <c r="T150" s="31">
        <f>SUMIFS(LinkFromProFormaIS!$F:$F,LinkFromProFormaIS!$I:$I,$D$148,LinkFromProFormaIS!$J:$J,T$118,LinkFromProFormaIS!$K:$K,$D150)</f>
        <v>6108</v>
      </c>
      <c r="U150" s="31">
        <f>SUMIFS(LinkFromProFormaIS!$F:$F,LinkFromProFormaIS!$I:$I,$D$148,LinkFromProFormaIS!$J:$J,U$118,LinkFromProFormaIS!$K:$K,$D150)</f>
        <v>8950</v>
      </c>
      <c r="V150" s="31"/>
      <c r="W150"/>
    </row>
    <row r="151" spans="4:23" x14ac:dyDescent="0.25">
      <c r="H151" s="31"/>
      <c r="I151" s="31"/>
      <c r="J151" s="31"/>
      <c r="K151" s="31"/>
      <c r="L151" s="62"/>
      <c r="M151" s="62"/>
      <c r="N151" s="62"/>
      <c r="O151" s="62"/>
      <c r="P151" s="31"/>
      <c r="Q151" s="31"/>
      <c r="R151" s="31"/>
      <c r="S151" s="31"/>
      <c r="T151" s="31"/>
      <c r="U151" s="31"/>
      <c r="V151" s="31"/>
      <c r="W151"/>
    </row>
    <row r="152" spans="4:23" ht="15.75" thickBot="1" x14ac:dyDescent="0.3">
      <c r="D152" s="18" t="s">
        <v>6969</v>
      </c>
      <c r="F152" s="50">
        <f>SUM(F149:F151)</f>
        <v>2257225.7000000002</v>
      </c>
      <c r="H152" s="43">
        <f t="shared" ref="H152:U152" si="16">SUM(H149:H151)</f>
        <v>0</v>
      </c>
      <c r="I152" s="43">
        <f t="shared" si="16"/>
        <v>40212</v>
      </c>
      <c r="J152" s="43">
        <f t="shared" si="16"/>
        <v>331212.56000000006</v>
      </c>
      <c r="K152" s="43">
        <f t="shared" si="16"/>
        <v>45938.58</v>
      </c>
      <c r="L152" s="167">
        <f t="shared" si="16"/>
        <v>1208343</v>
      </c>
      <c r="M152" s="167">
        <f t="shared" si="16"/>
        <v>294209.11</v>
      </c>
      <c r="N152" s="167">
        <f t="shared" si="16"/>
        <v>0</v>
      </c>
      <c r="O152" s="167">
        <f t="shared" si="16"/>
        <v>0</v>
      </c>
      <c r="P152" s="43">
        <f t="shared" si="16"/>
        <v>0</v>
      </c>
      <c r="Q152" s="43">
        <f t="shared" si="16"/>
        <v>0</v>
      </c>
      <c r="R152" s="43">
        <f t="shared" si="16"/>
        <v>8440.4500000000007</v>
      </c>
      <c r="S152" s="43">
        <f t="shared" si="16"/>
        <v>0</v>
      </c>
      <c r="T152" s="43">
        <f t="shared" si="16"/>
        <v>319920</v>
      </c>
      <c r="U152" s="43">
        <f t="shared" si="16"/>
        <v>8950</v>
      </c>
      <c r="V152" s="31"/>
      <c r="W152"/>
    </row>
    <row r="153" spans="4:23" x14ac:dyDescent="0.25">
      <c r="H153" s="31"/>
      <c r="I153" s="31"/>
      <c r="J153" s="31"/>
      <c r="K153" s="31"/>
      <c r="L153" s="62"/>
      <c r="M153" s="62"/>
      <c r="N153" s="62"/>
      <c r="O153" s="62"/>
      <c r="P153" s="31"/>
      <c r="Q153" s="31"/>
      <c r="R153" s="31"/>
      <c r="S153" s="31"/>
      <c r="T153" s="31"/>
      <c r="U153" s="31"/>
      <c r="V153" s="31"/>
      <c r="W153"/>
    </row>
    <row r="154" spans="4:23" x14ac:dyDescent="0.25">
      <c r="H154" s="31"/>
      <c r="I154" s="31"/>
      <c r="J154" s="31"/>
      <c r="K154" s="31"/>
      <c r="L154" s="62"/>
      <c r="M154" s="62"/>
      <c r="N154" s="62"/>
      <c r="O154" s="62"/>
      <c r="P154" s="31"/>
      <c r="Q154" s="31"/>
      <c r="R154" s="31"/>
      <c r="S154" s="31"/>
      <c r="T154" s="31"/>
      <c r="U154" s="31"/>
      <c r="V154" s="31"/>
      <c r="W154"/>
    </row>
    <row r="155" spans="4:23" ht="15.75" thickBot="1" x14ac:dyDescent="0.3">
      <c r="D155" s="18" t="s">
        <v>7149</v>
      </c>
      <c r="F155" s="50">
        <f>+F146+F152</f>
        <v>18289070</v>
      </c>
      <c r="H155" s="43">
        <f t="shared" ref="H155:U155" si="17">+H146+H152</f>
        <v>0</v>
      </c>
      <c r="I155" s="43">
        <f t="shared" si="17"/>
        <v>305306.38112377655</v>
      </c>
      <c r="J155" s="43">
        <f t="shared" si="17"/>
        <v>2265868.2000000002</v>
      </c>
      <c r="K155" s="43">
        <f t="shared" si="17"/>
        <v>2135411.7604147461</v>
      </c>
      <c r="L155" s="167">
        <f t="shared" si="17"/>
        <v>1671856.2270232073</v>
      </c>
      <c r="M155" s="167">
        <f t="shared" si="17"/>
        <v>532320.07999999996</v>
      </c>
      <c r="N155" s="167">
        <f t="shared" si="17"/>
        <v>0</v>
      </c>
      <c r="O155" s="167">
        <f t="shared" si="17"/>
        <v>0</v>
      </c>
      <c r="P155" s="43">
        <f t="shared" si="17"/>
        <v>2532</v>
      </c>
      <c r="Q155" s="43">
        <f t="shared" si="17"/>
        <v>47836.03</v>
      </c>
      <c r="R155" s="43">
        <f t="shared" si="17"/>
        <v>8440.4500000000007</v>
      </c>
      <c r="S155" s="43">
        <f t="shared" si="17"/>
        <v>1612228.0299999998</v>
      </c>
      <c r="T155" s="43">
        <f t="shared" si="17"/>
        <v>319920</v>
      </c>
      <c r="U155" s="43">
        <f t="shared" si="17"/>
        <v>9387350.8414382711</v>
      </c>
      <c r="V155" s="31"/>
      <c r="W155"/>
    </row>
    <row r="156" spans="4:23" x14ac:dyDescent="0.25">
      <c r="D156" s="7"/>
      <c r="F156" s="26"/>
      <c r="H156" s="53"/>
      <c r="I156" s="53"/>
      <c r="J156" s="53"/>
      <c r="K156" s="53"/>
      <c r="L156" s="166"/>
      <c r="M156" s="166"/>
      <c r="N156" s="166"/>
      <c r="O156" s="166"/>
      <c r="P156" s="53"/>
      <c r="Q156" s="53"/>
      <c r="R156" s="53"/>
      <c r="S156" s="53"/>
      <c r="T156" s="53"/>
      <c r="U156" s="53"/>
      <c r="V156" s="31"/>
      <c r="W156"/>
    </row>
    <row r="157" spans="4:23" x14ac:dyDescent="0.25">
      <c r="D157" s="161" t="s">
        <v>7148</v>
      </c>
      <c r="F157" s="31">
        <f>SUMIF(LinkFromProFormaIS!$I:$I,"Operations Expense",LinkFromProFormaIS!$G:$G)+SUMIF(LinkFromProFormaIS!$I:$I,"Maintenance Expense",LinkFromProFormaIS!$G:$G)</f>
        <v>0</v>
      </c>
      <c r="H157" s="53"/>
      <c r="I157" s="53"/>
      <c r="J157" s="53"/>
      <c r="K157" s="53"/>
      <c r="L157" s="166"/>
      <c r="M157" s="166"/>
      <c r="N157" s="166"/>
      <c r="O157" s="166"/>
      <c r="P157" s="53"/>
      <c r="Q157" s="53"/>
      <c r="R157" s="53"/>
      <c r="S157" s="53"/>
      <c r="T157" s="53"/>
      <c r="U157" s="53"/>
      <c r="V157" s="31"/>
      <c r="W157"/>
    </row>
    <row r="158" spans="4:23" x14ac:dyDescent="0.25">
      <c r="D158" s="17"/>
      <c r="F158" s="31"/>
      <c r="H158" s="53"/>
      <c r="I158" s="53"/>
      <c r="J158" s="53"/>
      <c r="K158" s="53"/>
      <c r="L158" s="166"/>
      <c r="M158" s="166"/>
      <c r="N158" s="166"/>
      <c r="O158" s="166"/>
      <c r="P158" s="53"/>
      <c r="Q158" s="53"/>
      <c r="R158" s="53"/>
      <c r="S158" s="53"/>
      <c r="T158" s="53"/>
      <c r="U158" s="53"/>
      <c r="V158" s="31"/>
      <c r="W158"/>
    </row>
    <row r="159" spans="4:23" ht="15.75" thickBot="1" x14ac:dyDescent="0.3">
      <c r="D159" s="17" t="s">
        <v>6970</v>
      </c>
      <c r="F159" s="50">
        <f>+F155+F157</f>
        <v>18289070</v>
      </c>
      <c r="H159" s="53"/>
      <c r="I159" s="53"/>
      <c r="J159" s="53"/>
      <c r="K159" s="53"/>
      <c r="L159" s="166"/>
      <c r="M159" s="166"/>
      <c r="N159" s="166"/>
      <c r="O159" s="166"/>
      <c r="P159" s="53"/>
      <c r="Q159" s="53"/>
      <c r="R159" s="53"/>
      <c r="S159" s="53"/>
      <c r="T159" s="53"/>
      <c r="U159" s="53"/>
      <c r="V159" s="31"/>
      <c r="W159"/>
    </row>
    <row r="160" spans="4:23" x14ac:dyDescent="0.25">
      <c r="D160" s="156" t="s">
        <v>7147</v>
      </c>
      <c r="F160" s="31">
        <f>SUMIF(LinkFromProFormaIS!I:I,"Operations Expense", LinkFromProFormaIS!F:F)+SUMIF(LinkFromProFormaIS!I:I,"Maintenance Expense", LinkFromProFormaIS!F:F)-F159+F157</f>
        <v>0</v>
      </c>
      <c r="H160" s="31"/>
      <c r="I160" s="31"/>
      <c r="J160" s="31"/>
      <c r="K160" s="31"/>
      <c r="L160" s="62"/>
      <c r="M160" s="62"/>
      <c r="N160" s="62"/>
      <c r="O160" s="62"/>
      <c r="P160" s="31"/>
      <c r="Q160" s="31"/>
      <c r="R160" s="31"/>
      <c r="S160" s="31"/>
      <c r="T160" s="31"/>
      <c r="U160" s="31"/>
      <c r="V160" s="31"/>
      <c r="W160"/>
    </row>
    <row r="161" spans="2:23" x14ac:dyDescent="0.25">
      <c r="D161" s="156"/>
      <c r="F161" s="31"/>
      <c r="H161" s="31"/>
      <c r="I161" s="31"/>
      <c r="J161" s="31"/>
      <c r="K161" s="31"/>
      <c r="L161" s="62"/>
      <c r="M161" s="62"/>
      <c r="N161" s="62"/>
      <c r="O161" s="62"/>
      <c r="P161" s="31"/>
      <c r="Q161" s="31"/>
      <c r="R161" s="31"/>
      <c r="S161" s="31"/>
      <c r="T161" s="31"/>
      <c r="U161" s="31"/>
      <c r="V161" s="31"/>
      <c r="W161"/>
    </row>
    <row r="162" spans="2:23" x14ac:dyDescent="0.25">
      <c r="B162" s="60" t="s">
        <v>6983</v>
      </c>
      <c r="C162" s="61"/>
      <c r="D162" s="61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31"/>
      <c r="R162" s="31"/>
      <c r="S162" s="31"/>
      <c r="T162" s="31"/>
      <c r="U162" s="31"/>
      <c r="V162" s="31"/>
      <c r="W162"/>
    </row>
    <row r="163" spans="2:23" x14ac:dyDescent="0.25">
      <c r="B163" s="13"/>
      <c r="C163" s="1" t="s">
        <v>6923</v>
      </c>
      <c r="H163" s="31"/>
      <c r="I163" s="31"/>
      <c r="J163" s="31"/>
      <c r="K163" s="31"/>
      <c r="L163" s="62"/>
      <c r="M163" s="62"/>
      <c r="N163" s="62"/>
      <c r="O163" s="62"/>
      <c r="P163" s="31"/>
      <c r="Q163" s="31"/>
      <c r="R163" s="31"/>
      <c r="S163" s="31"/>
      <c r="T163" s="31"/>
      <c r="U163" s="31"/>
      <c r="V163" s="31"/>
      <c r="W163"/>
    </row>
    <row r="164" spans="2:23" x14ac:dyDescent="0.25">
      <c r="B164" s="23" t="s">
        <v>7187</v>
      </c>
      <c r="D164" s="2" t="s">
        <v>7975</v>
      </c>
      <c r="F164" s="31">
        <f t="shared" ref="F164" si="18">SUM(H164:U164)</f>
        <v>0</v>
      </c>
      <c r="H164" s="31">
        <f>SUMIFS(LinkFromRateBase!$I:$I,LinkFromRateBase!$E:$E,H$5,LinkFromRateBase!$F:$F,$D164)</f>
        <v>0</v>
      </c>
      <c r="I164" s="31">
        <f>SUMIFS(LinkFromRateBase!$I:$I,LinkFromRateBase!$E:$E,I$5,LinkFromRateBase!$F:$F,$D164)</f>
        <v>0</v>
      </c>
      <c r="J164" s="31">
        <f>SUMIFS(LinkFromRateBase!$I:$I,LinkFromRateBase!$E:$E,J$5,LinkFromRateBase!$F:$F,$D164)</f>
        <v>0</v>
      </c>
      <c r="K164" s="31">
        <f>SUMIFS(LinkFromRateBase!$I:$I,LinkFromRateBase!$E:$E,K$5,LinkFromRateBase!$F:$F,$D164)</f>
        <v>0</v>
      </c>
      <c r="L164" s="31">
        <f>SUMIFS(LinkFromRateBase!$I:$I,LinkFromRateBase!$E:$E,L$5,LinkFromRateBase!$F:$F,$D164)</f>
        <v>0</v>
      </c>
      <c r="M164" s="31">
        <f>SUMIFS(LinkFromRateBase!$I:$I,LinkFromRateBase!$E:$E,M$5,LinkFromRateBase!$F:$F,$D164)</f>
        <v>0</v>
      </c>
      <c r="N164" s="31">
        <f>SUMIFS(LinkFromRateBase!$I:$I,LinkFromRateBase!$E:$E,N$5,LinkFromRateBase!$F:$F,$D164)</f>
        <v>0</v>
      </c>
      <c r="O164" s="31">
        <f>SUMIFS(LinkFromRateBase!$I:$I,LinkFromRateBase!$E:$E,O$5,LinkFromRateBase!$F:$F,$D164)</f>
        <v>0</v>
      </c>
      <c r="P164" s="31">
        <f>SUMIFS(LinkFromRateBase!$I:$I,LinkFromRateBase!$E:$E,P$5,LinkFromRateBase!$F:$F,$D164)</f>
        <v>0</v>
      </c>
      <c r="Q164" s="31">
        <f>SUMIFS(LinkFromRateBase!$I:$I,LinkFromRateBase!$E:$E,Q$5,LinkFromRateBase!$F:$F,$D164)</f>
        <v>0</v>
      </c>
      <c r="R164" s="31">
        <f>SUMIFS(LinkFromRateBase!$I:$I,LinkFromRateBase!$E:$E,R$5,LinkFromRateBase!$F:$F,$D164)</f>
        <v>0</v>
      </c>
      <c r="S164" s="31">
        <f>SUMIFS(LinkFromRateBase!$I:$I,LinkFromRateBase!$E:$E,S$5,LinkFromRateBase!$F:$F,$D164)</f>
        <v>0</v>
      </c>
      <c r="T164" s="31">
        <f>SUMIFS(LinkFromRateBase!$I:$I,LinkFromRateBase!$E:$E,T$5,LinkFromRateBase!$F:$F,$D164)</f>
        <v>0</v>
      </c>
      <c r="U164" s="31">
        <f>SUMIFS(LinkFromRateBase!$I:$I,LinkFromRateBase!$E:$E,U$5,LinkFromRateBase!$F:$F,$D164)</f>
        <v>0</v>
      </c>
      <c r="V164" s="31"/>
      <c r="W164"/>
    </row>
    <row r="165" spans="2:23" x14ac:dyDescent="0.25">
      <c r="B165" s="23" t="s">
        <v>7188</v>
      </c>
      <c r="D165" s="2" t="s">
        <v>7977</v>
      </c>
      <c r="F165" s="31">
        <f t="shared" ref="F165:F166" si="19">SUM(H165:U165)</f>
        <v>0</v>
      </c>
      <c r="H165" s="31">
        <f>SUMIFS(LinkFromRateBase!$I:$I,LinkFromRateBase!$E:$E,H$5,LinkFromRateBase!$F:$F,$D165)</f>
        <v>0</v>
      </c>
      <c r="I165" s="31">
        <f>SUMIFS(LinkFromRateBase!$I:$I,LinkFromRateBase!$E:$E,I$5,LinkFromRateBase!$F:$F,$D165)</f>
        <v>0</v>
      </c>
      <c r="J165" s="31">
        <f>SUMIFS(LinkFromRateBase!$I:$I,LinkFromRateBase!$E:$E,J$5,LinkFromRateBase!$F:$F,$D165)</f>
        <v>0</v>
      </c>
      <c r="K165" s="31">
        <f>SUMIFS(LinkFromRateBase!$I:$I,LinkFromRateBase!$E:$E,K$5,LinkFromRateBase!$F:$F,$D165)</f>
        <v>0</v>
      </c>
      <c r="L165" s="31">
        <f>SUMIFS(LinkFromRateBase!$I:$I,LinkFromRateBase!$E:$E,L$5,LinkFromRateBase!$F:$F,$D165)</f>
        <v>0</v>
      </c>
      <c r="M165" s="31">
        <f>SUMIFS(LinkFromRateBase!$I:$I,LinkFromRateBase!$E:$E,M$5,LinkFromRateBase!$F:$F,$D165)</f>
        <v>0</v>
      </c>
      <c r="N165" s="31">
        <f>SUMIFS(LinkFromRateBase!$I:$I,LinkFromRateBase!$E:$E,N$5,LinkFromRateBase!$F:$F,$D165)</f>
        <v>0</v>
      </c>
      <c r="O165" s="31">
        <f>SUMIFS(LinkFromRateBase!$I:$I,LinkFromRateBase!$E:$E,O$5,LinkFromRateBase!$F:$F,$D165)</f>
        <v>0</v>
      </c>
      <c r="P165" s="31">
        <f>SUMIFS(LinkFromRateBase!$I:$I,LinkFromRateBase!$E:$E,P$5,LinkFromRateBase!$F:$F,$D165)</f>
        <v>0</v>
      </c>
      <c r="Q165" s="31">
        <f>SUMIFS(LinkFromRateBase!$I:$I,LinkFromRateBase!$E:$E,Q$5,LinkFromRateBase!$F:$F,$D165)</f>
        <v>0</v>
      </c>
      <c r="R165" s="31">
        <f>SUMIFS(LinkFromRateBase!$I:$I,LinkFromRateBase!$E:$E,R$5,LinkFromRateBase!$F:$F,$D165)</f>
        <v>0</v>
      </c>
      <c r="S165" s="31">
        <f>SUMIFS(LinkFromRateBase!$I:$I,LinkFromRateBase!$E:$E,S$5,LinkFromRateBase!$F:$F,$D165)</f>
        <v>0</v>
      </c>
      <c r="T165" s="31">
        <f>SUMIFS(LinkFromRateBase!$I:$I,LinkFromRateBase!$E:$E,T$5,LinkFromRateBase!$F:$F,$D165)</f>
        <v>0</v>
      </c>
      <c r="U165" s="31">
        <f>SUMIFS(LinkFromRateBase!$I:$I,LinkFromRateBase!$E:$E,U$5,LinkFromRateBase!$F:$F,$D165)</f>
        <v>0</v>
      </c>
      <c r="V165" s="31"/>
      <c r="W165"/>
    </row>
    <row r="166" spans="2:23" x14ac:dyDescent="0.25">
      <c r="B166" s="23" t="s">
        <v>7240</v>
      </c>
      <c r="D166" s="2" t="s">
        <v>7979</v>
      </c>
      <c r="F166" s="31">
        <f t="shared" si="19"/>
        <v>69883</v>
      </c>
      <c r="H166" s="31">
        <f>SUMIFS(LinkFromRateBase!$I:$I,LinkFromRateBase!$E:$E,H$5,LinkFromRateBase!$F:$F,$D166)</f>
        <v>69883</v>
      </c>
      <c r="I166" s="31">
        <f>SUMIFS(LinkFromRateBase!$I:$I,LinkFromRateBase!$E:$E,I$5,LinkFromRateBase!$F:$F,$D166)</f>
        <v>0</v>
      </c>
      <c r="J166" s="31">
        <f>SUMIFS(LinkFromRateBase!$I:$I,LinkFromRateBase!$E:$E,J$5,LinkFromRateBase!$F:$F,$D166)</f>
        <v>0</v>
      </c>
      <c r="K166" s="31">
        <f>SUMIFS(LinkFromRateBase!$I:$I,LinkFromRateBase!$E:$E,K$5,LinkFromRateBase!$F:$F,$D166)</f>
        <v>0</v>
      </c>
      <c r="L166" s="31">
        <f>SUMIFS(LinkFromRateBase!$I:$I,LinkFromRateBase!$E:$E,L$5,LinkFromRateBase!$F:$F,$D166)</f>
        <v>0</v>
      </c>
      <c r="M166" s="31">
        <f>SUMIFS(LinkFromRateBase!$I:$I,LinkFromRateBase!$E:$E,M$5,LinkFromRateBase!$F:$F,$D166)</f>
        <v>0</v>
      </c>
      <c r="N166" s="31">
        <f>SUMIFS(LinkFromRateBase!$I:$I,LinkFromRateBase!$E:$E,N$5,LinkFromRateBase!$F:$F,$D166)</f>
        <v>0</v>
      </c>
      <c r="O166" s="31">
        <f>SUMIFS(LinkFromRateBase!$I:$I,LinkFromRateBase!$E:$E,O$5,LinkFromRateBase!$F:$F,$D166)</f>
        <v>0</v>
      </c>
      <c r="P166" s="31">
        <f>SUMIFS(LinkFromRateBase!$I:$I,LinkFromRateBase!$E:$E,P$5,LinkFromRateBase!$F:$F,$D166)</f>
        <v>0</v>
      </c>
      <c r="Q166" s="31">
        <f>SUMIFS(LinkFromRateBase!$I:$I,LinkFromRateBase!$E:$E,Q$5,LinkFromRateBase!$F:$F,$D166)</f>
        <v>0</v>
      </c>
      <c r="R166" s="31">
        <f>SUMIFS(LinkFromRateBase!$I:$I,LinkFromRateBase!$E:$E,R$5,LinkFromRateBase!$F:$F,$D166)</f>
        <v>0</v>
      </c>
      <c r="S166" s="31">
        <f>SUMIFS(LinkFromRateBase!$I:$I,LinkFromRateBase!$E:$E,S$5,LinkFromRateBase!$F:$F,$D166)</f>
        <v>0</v>
      </c>
      <c r="T166" s="31">
        <f>SUMIFS(LinkFromRateBase!$I:$I,LinkFromRateBase!$E:$E,T$5,LinkFromRateBase!$F:$F,$D166)</f>
        <v>0</v>
      </c>
      <c r="U166" s="31">
        <f>SUMIFS(LinkFromRateBase!$I:$I,LinkFromRateBase!$E:$E,U$5,LinkFromRateBase!$F:$F,$D166)</f>
        <v>0</v>
      </c>
      <c r="V166" s="31"/>
      <c r="W166"/>
    </row>
    <row r="167" spans="2:23" x14ac:dyDescent="0.25">
      <c r="B167" s="14"/>
      <c r="E167" s="6"/>
      <c r="F167" s="6"/>
      <c r="G167" s="6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/>
    </row>
    <row r="168" spans="2:23" x14ac:dyDescent="0.25">
      <c r="B168" s="14"/>
      <c r="C168" s="1" t="s">
        <v>6924</v>
      </c>
      <c r="E168" s="6"/>
      <c r="F168" s="6"/>
      <c r="G168" s="6"/>
      <c r="H168" s="31">
        <f>SUMIFS(LinkFromRateBase!$I:$I,LinkFromRateBase!$E:$E,H$5,LinkFromRateBase!$F:$F,$D168)</f>
        <v>0</v>
      </c>
      <c r="I168" s="31">
        <f>SUMIFS(LinkFromRateBase!$I:$I,LinkFromRateBase!$E:$E,I$5,LinkFromRateBase!$F:$F,$D168)</f>
        <v>0</v>
      </c>
      <c r="J168" s="31">
        <f>SUMIFS(LinkFromRateBase!$I:$I,LinkFromRateBase!$E:$E,J$5,LinkFromRateBase!$F:$F,$D168)</f>
        <v>0</v>
      </c>
      <c r="K168" s="31">
        <f>SUMIFS(LinkFromRateBase!$I:$I,LinkFromRateBase!$E:$E,K$5,LinkFromRateBase!$F:$F,$D168)</f>
        <v>0</v>
      </c>
      <c r="L168" s="31">
        <f>SUMIFS(LinkFromRateBase!$I:$I,LinkFromRateBase!$E:$E,L$5,LinkFromRateBase!$F:$F,$D168)</f>
        <v>0</v>
      </c>
      <c r="M168" s="31">
        <f>SUMIFS(LinkFromRateBase!$I:$I,LinkFromRateBase!$E:$E,M$5,LinkFromRateBase!$F:$F,$D168)</f>
        <v>0</v>
      </c>
      <c r="N168" s="31">
        <f>SUMIFS(LinkFromRateBase!$I:$I,LinkFromRateBase!$E:$E,N$5,LinkFromRateBase!$F:$F,$D168)</f>
        <v>0</v>
      </c>
      <c r="O168" s="31">
        <f>SUMIFS(LinkFromRateBase!$I:$I,LinkFromRateBase!$E:$E,O$5,LinkFromRateBase!$F:$F,$D168)</f>
        <v>0</v>
      </c>
      <c r="P168" s="31">
        <f>SUMIFS(LinkFromRateBase!$I:$I,LinkFromRateBase!$E:$E,P$5,LinkFromRateBase!$F:$F,$D168)</f>
        <v>0</v>
      </c>
      <c r="Q168" s="31">
        <f>SUMIFS(LinkFromRateBase!$I:$I,LinkFromRateBase!$E:$E,Q$5,LinkFromRateBase!$F:$F,$D168)</f>
        <v>0</v>
      </c>
      <c r="R168" s="31">
        <f>SUMIFS(LinkFromRateBase!$I:$I,LinkFromRateBase!$E:$E,R$5,LinkFromRateBase!$F:$F,$D168)</f>
        <v>0</v>
      </c>
      <c r="S168" s="31">
        <f>SUMIFS(LinkFromRateBase!$I:$I,LinkFromRateBase!$E:$E,S$5,LinkFromRateBase!$F:$F,$D168)</f>
        <v>0</v>
      </c>
      <c r="T168" s="31">
        <f>SUMIFS(LinkFromRateBase!$I:$I,LinkFromRateBase!$E:$E,T$5,LinkFromRateBase!$F:$F,$D168)</f>
        <v>0</v>
      </c>
      <c r="U168" s="31">
        <f>SUMIFS(LinkFromRateBase!$I:$I,LinkFromRateBase!$E:$E,U$5,LinkFromRateBase!$F:$F,$D168)</f>
        <v>0</v>
      </c>
      <c r="V168" s="31"/>
      <c r="W168"/>
    </row>
    <row r="169" spans="2:23" x14ac:dyDescent="0.25">
      <c r="B169" s="225" t="s">
        <v>7190</v>
      </c>
      <c r="D169" s="2" t="s">
        <v>7981</v>
      </c>
      <c r="F169" s="31">
        <f t="shared" ref="F169:F173" si="20">SUM(H169:U169)</f>
        <v>0</v>
      </c>
      <c r="H169" s="31">
        <f>SUMIFS(LinkFromRateBase!$I:$I,LinkFromRateBase!$E:$E,H$5,LinkFromRateBase!$F:$F,$D169)</f>
        <v>0</v>
      </c>
      <c r="I169" s="31">
        <f>SUMIFS(LinkFromRateBase!$I:$I,LinkFromRateBase!$E:$E,I$5,LinkFromRateBase!$F:$F,$D169)</f>
        <v>0</v>
      </c>
      <c r="J169" s="31">
        <f>SUMIFS(LinkFromRateBase!$I:$I,LinkFromRateBase!$E:$E,J$5,LinkFromRateBase!$F:$F,$D169)</f>
        <v>0</v>
      </c>
      <c r="K169" s="31">
        <f>SUMIFS(LinkFromRateBase!$I:$I,LinkFromRateBase!$E:$E,K$5,LinkFromRateBase!$F:$F,$D169)</f>
        <v>0</v>
      </c>
      <c r="L169" s="31">
        <f>SUMIFS(LinkFromRateBase!$I:$I,LinkFromRateBase!$E:$E,L$5,LinkFromRateBase!$F:$F,$D169)</f>
        <v>0</v>
      </c>
      <c r="M169" s="31">
        <f>SUMIFS(LinkFromRateBase!$I:$I,LinkFromRateBase!$E:$E,M$5,LinkFromRateBase!$F:$F,$D169)</f>
        <v>0</v>
      </c>
      <c r="N169" s="31">
        <f>SUMIFS(LinkFromRateBase!$I:$I,LinkFromRateBase!$E:$E,N$5,LinkFromRateBase!$F:$F,$D169)</f>
        <v>0</v>
      </c>
      <c r="O169" s="31">
        <f>SUMIFS(LinkFromRateBase!$I:$I,LinkFromRateBase!$E:$E,O$5,LinkFromRateBase!$F:$F,$D169)</f>
        <v>0</v>
      </c>
      <c r="P169" s="31">
        <f>SUMIFS(LinkFromRateBase!$I:$I,LinkFromRateBase!$E:$E,P$5,LinkFromRateBase!$F:$F,$D169)</f>
        <v>0</v>
      </c>
      <c r="Q169" s="31">
        <f>SUMIFS(LinkFromRateBase!$I:$I,LinkFromRateBase!$E:$E,Q$5,LinkFromRateBase!$F:$F,$D169)</f>
        <v>0</v>
      </c>
      <c r="R169" s="31">
        <f>SUMIFS(LinkFromRateBase!$I:$I,LinkFromRateBase!$E:$E,R$5,LinkFromRateBase!$F:$F,$D169)</f>
        <v>0</v>
      </c>
      <c r="S169" s="31">
        <f>SUMIFS(LinkFromRateBase!$I:$I,LinkFromRateBase!$E:$E,S$5,LinkFromRateBase!$F:$F,$D169)</f>
        <v>0</v>
      </c>
      <c r="T169" s="31">
        <f>SUMIFS(LinkFromRateBase!$I:$I,LinkFromRateBase!$E:$E,T$5,LinkFromRateBase!$F:$F,$D169)</f>
        <v>0</v>
      </c>
      <c r="U169" s="31">
        <f>SUMIFS(LinkFromRateBase!$I:$I,LinkFromRateBase!$E:$E,U$5,LinkFromRateBase!$F:$F,$D169)</f>
        <v>0</v>
      </c>
      <c r="V169" s="31"/>
      <c r="W169"/>
    </row>
    <row r="170" spans="2:23" x14ac:dyDescent="0.25">
      <c r="B170" s="226" t="s">
        <v>7199</v>
      </c>
      <c r="D170" s="2" t="s">
        <v>7983</v>
      </c>
      <c r="E170" s="6"/>
      <c r="F170" s="31">
        <f t="shared" si="20"/>
        <v>23024</v>
      </c>
      <c r="H170" s="31">
        <f>SUMIFS(LinkFromRateBase!$I:$I,LinkFromRateBase!$E:$E,H$5,LinkFromRateBase!$F:$F,$D170)</f>
        <v>0</v>
      </c>
      <c r="I170" s="31">
        <f>SUMIFS(LinkFromRateBase!$I:$I,LinkFromRateBase!$E:$E,I$5,LinkFromRateBase!$F:$F,$D170)</f>
        <v>23024</v>
      </c>
      <c r="J170" s="31">
        <f>SUMIFS(LinkFromRateBase!$I:$I,LinkFromRateBase!$E:$E,J$5,LinkFromRateBase!$F:$F,$D170)</f>
        <v>0</v>
      </c>
      <c r="K170" s="31">
        <f>SUMIFS(LinkFromRateBase!$I:$I,LinkFromRateBase!$E:$E,K$5,LinkFromRateBase!$F:$F,$D170)</f>
        <v>0</v>
      </c>
      <c r="L170" s="31">
        <f>SUMIFS(LinkFromRateBase!$I:$I,LinkFromRateBase!$E:$E,L$5,LinkFromRateBase!$F:$F,$D170)</f>
        <v>0</v>
      </c>
      <c r="M170" s="31">
        <f>SUMIFS(LinkFromRateBase!$I:$I,LinkFromRateBase!$E:$E,M$5,LinkFromRateBase!$F:$F,$D170)</f>
        <v>0</v>
      </c>
      <c r="N170" s="31">
        <f>SUMIFS(LinkFromRateBase!$I:$I,LinkFromRateBase!$E:$E,N$5,LinkFromRateBase!$F:$F,$D170)</f>
        <v>0</v>
      </c>
      <c r="O170" s="31">
        <f>SUMIFS(LinkFromRateBase!$I:$I,LinkFromRateBase!$E:$E,O$5,LinkFromRateBase!$F:$F,$D170)</f>
        <v>0</v>
      </c>
      <c r="P170" s="31">
        <f>SUMIFS(LinkFromRateBase!$I:$I,LinkFromRateBase!$E:$E,P$5,LinkFromRateBase!$F:$F,$D170)</f>
        <v>0</v>
      </c>
      <c r="Q170" s="31">
        <f>SUMIFS(LinkFromRateBase!$I:$I,LinkFromRateBase!$E:$E,Q$5,LinkFromRateBase!$F:$F,$D170)</f>
        <v>0</v>
      </c>
      <c r="R170" s="31">
        <f>SUMIFS(LinkFromRateBase!$I:$I,LinkFromRateBase!$E:$E,R$5,LinkFromRateBase!$F:$F,$D170)</f>
        <v>0</v>
      </c>
      <c r="S170" s="31">
        <f>SUMIFS(LinkFromRateBase!$I:$I,LinkFromRateBase!$E:$E,S$5,LinkFromRateBase!$F:$F,$D170)</f>
        <v>0</v>
      </c>
      <c r="T170" s="31">
        <f>SUMIFS(LinkFromRateBase!$I:$I,LinkFromRateBase!$E:$E,T$5,LinkFromRateBase!$F:$F,$D170)</f>
        <v>0</v>
      </c>
      <c r="U170" s="31">
        <f>SUMIFS(LinkFromRateBase!$I:$I,LinkFromRateBase!$E:$E,U$5,LinkFromRateBase!$F:$F,$D170)</f>
        <v>0</v>
      </c>
      <c r="V170" s="31"/>
      <c r="W170"/>
    </row>
    <row r="171" spans="2:23" x14ac:dyDescent="0.25">
      <c r="B171" s="225" t="s">
        <v>7210</v>
      </c>
      <c r="D171" s="2" t="s">
        <v>7985</v>
      </c>
      <c r="F171" s="31">
        <f t="shared" si="20"/>
        <v>2199</v>
      </c>
      <c r="H171" s="31">
        <f>SUMIFS(LinkFromRateBase!$I:$I,LinkFromRateBase!$E:$E,H$5,LinkFromRateBase!$F:$F,$D171)</f>
        <v>0</v>
      </c>
      <c r="I171" s="31">
        <f>SUMIFS(LinkFromRateBase!$I:$I,LinkFromRateBase!$E:$E,I$5,LinkFromRateBase!$F:$F,$D171)</f>
        <v>2199</v>
      </c>
      <c r="J171" s="31">
        <f>SUMIFS(LinkFromRateBase!$I:$I,LinkFromRateBase!$E:$E,J$5,LinkFromRateBase!$F:$F,$D171)</f>
        <v>0</v>
      </c>
      <c r="K171" s="31">
        <f>SUMIFS(LinkFromRateBase!$I:$I,LinkFromRateBase!$E:$E,K$5,LinkFromRateBase!$F:$F,$D171)</f>
        <v>0</v>
      </c>
      <c r="L171" s="31">
        <f>SUMIFS(LinkFromRateBase!$I:$I,LinkFromRateBase!$E:$E,L$5,LinkFromRateBase!$F:$F,$D171)</f>
        <v>0</v>
      </c>
      <c r="M171" s="31">
        <f>SUMIFS(LinkFromRateBase!$I:$I,LinkFromRateBase!$E:$E,M$5,LinkFromRateBase!$F:$F,$D171)</f>
        <v>0</v>
      </c>
      <c r="N171" s="31">
        <f>SUMIFS(LinkFromRateBase!$I:$I,LinkFromRateBase!$E:$E,N$5,LinkFromRateBase!$F:$F,$D171)</f>
        <v>0</v>
      </c>
      <c r="O171" s="31">
        <f>SUMIFS(LinkFromRateBase!$I:$I,LinkFromRateBase!$E:$E,O$5,LinkFromRateBase!$F:$F,$D171)</f>
        <v>0</v>
      </c>
      <c r="P171" s="31">
        <f>SUMIFS(LinkFromRateBase!$I:$I,LinkFromRateBase!$E:$E,P$5,LinkFromRateBase!$F:$F,$D171)</f>
        <v>0</v>
      </c>
      <c r="Q171" s="31">
        <f>SUMIFS(LinkFromRateBase!$I:$I,LinkFromRateBase!$E:$E,Q$5,LinkFromRateBase!$F:$F,$D171)</f>
        <v>0</v>
      </c>
      <c r="R171" s="31">
        <f>SUMIFS(LinkFromRateBase!$I:$I,LinkFromRateBase!$E:$E,R$5,LinkFromRateBase!$F:$F,$D171)</f>
        <v>0</v>
      </c>
      <c r="S171" s="31">
        <f>SUMIFS(LinkFromRateBase!$I:$I,LinkFromRateBase!$E:$E,S$5,LinkFromRateBase!$F:$F,$D171)</f>
        <v>0</v>
      </c>
      <c r="T171" s="31">
        <f>SUMIFS(LinkFromRateBase!$I:$I,LinkFromRateBase!$E:$E,T$5,LinkFromRateBase!$F:$F,$D171)</f>
        <v>0</v>
      </c>
      <c r="U171" s="31">
        <f>SUMIFS(LinkFromRateBase!$I:$I,LinkFromRateBase!$E:$E,U$5,LinkFromRateBase!$F:$F,$D171)</f>
        <v>0</v>
      </c>
      <c r="V171" s="31"/>
      <c r="W171"/>
    </row>
    <row r="172" spans="2:23" x14ac:dyDescent="0.25">
      <c r="B172" s="225" t="s">
        <v>7211</v>
      </c>
      <c r="D172" s="2" t="s">
        <v>7987</v>
      </c>
      <c r="F172" s="31">
        <f t="shared" si="20"/>
        <v>61112</v>
      </c>
      <c r="H172" s="31">
        <f>SUMIFS(LinkFromRateBase!$I:$I,LinkFromRateBase!$E:$E,H$5,LinkFromRateBase!$F:$F,$D172)</f>
        <v>0</v>
      </c>
      <c r="I172" s="31">
        <f>SUMIFS(LinkFromRateBase!$I:$I,LinkFromRateBase!$E:$E,I$5,LinkFromRateBase!$F:$F,$D172)</f>
        <v>61112</v>
      </c>
      <c r="J172" s="31">
        <f>SUMIFS(LinkFromRateBase!$I:$I,LinkFromRateBase!$E:$E,J$5,LinkFromRateBase!$F:$F,$D172)</f>
        <v>0</v>
      </c>
      <c r="K172" s="31">
        <f>SUMIFS(LinkFromRateBase!$I:$I,LinkFromRateBase!$E:$E,K$5,LinkFromRateBase!$F:$F,$D172)</f>
        <v>0</v>
      </c>
      <c r="L172" s="31">
        <f>SUMIFS(LinkFromRateBase!$I:$I,LinkFromRateBase!$E:$E,L$5,LinkFromRateBase!$F:$F,$D172)</f>
        <v>0</v>
      </c>
      <c r="M172" s="31">
        <f>SUMIFS(LinkFromRateBase!$I:$I,LinkFromRateBase!$E:$E,M$5,LinkFromRateBase!$F:$F,$D172)</f>
        <v>0</v>
      </c>
      <c r="N172" s="31">
        <f>SUMIFS(LinkFromRateBase!$I:$I,LinkFromRateBase!$E:$E,N$5,LinkFromRateBase!$F:$F,$D172)</f>
        <v>0</v>
      </c>
      <c r="O172" s="31">
        <f>SUMIFS(LinkFromRateBase!$I:$I,LinkFromRateBase!$E:$E,O$5,LinkFromRateBase!$F:$F,$D172)</f>
        <v>0</v>
      </c>
      <c r="P172" s="31">
        <f>SUMIFS(LinkFromRateBase!$I:$I,LinkFromRateBase!$E:$E,P$5,LinkFromRateBase!$F:$F,$D172)</f>
        <v>0</v>
      </c>
      <c r="Q172" s="31">
        <f>SUMIFS(LinkFromRateBase!$I:$I,LinkFromRateBase!$E:$E,Q$5,LinkFromRateBase!$F:$F,$D172)</f>
        <v>0</v>
      </c>
      <c r="R172" s="31">
        <f>SUMIFS(LinkFromRateBase!$I:$I,LinkFromRateBase!$E:$E,R$5,LinkFromRateBase!$F:$F,$D172)</f>
        <v>0</v>
      </c>
      <c r="S172" s="31">
        <f>SUMIFS(LinkFromRateBase!$I:$I,LinkFromRateBase!$E:$E,S$5,LinkFromRateBase!$F:$F,$D172)</f>
        <v>0</v>
      </c>
      <c r="T172" s="31">
        <f>SUMIFS(LinkFromRateBase!$I:$I,LinkFromRateBase!$E:$E,T$5,LinkFromRateBase!$F:$F,$D172)</f>
        <v>0</v>
      </c>
      <c r="U172" s="31">
        <f>SUMIFS(LinkFromRateBase!$I:$I,LinkFromRateBase!$E:$E,U$5,LinkFromRateBase!$F:$F,$D172)</f>
        <v>0</v>
      </c>
      <c r="V172" s="31"/>
      <c r="W172"/>
    </row>
    <row r="173" spans="2:23" x14ac:dyDescent="0.25">
      <c r="B173" s="225" t="s">
        <v>7214</v>
      </c>
      <c r="D173" s="2" t="s">
        <v>7989</v>
      </c>
      <c r="F173" s="31">
        <f t="shared" si="20"/>
        <v>1933</v>
      </c>
      <c r="H173" s="31">
        <f>SUMIFS(LinkFromRateBase!$I:$I,LinkFromRateBase!$E:$E,H$5,LinkFromRateBase!$F:$F,$D173)</f>
        <v>0</v>
      </c>
      <c r="I173" s="31">
        <f>SUMIFS(LinkFromRateBase!$I:$I,LinkFromRateBase!$E:$E,I$5,LinkFromRateBase!$F:$F,$D173)</f>
        <v>1933</v>
      </c>
      <c r="J173" s="31">
        <f>SUMIFS(LinkFromRateBase!$I:$I,LinkFromRateBase!$E:$E,J$5,LinkFromRateBase!$F:$F,$D173)</f>
        <v>0</v>
      </c>
      <c r="K173" s="31">
        <f>SUMIFS(LinkFromRateBase!$I:$I,LinkFromRateBase!$E:$E,K$5,LinkFromRateBase!$F:$F,$D173)</f>
        <v>0</v>
      </c>
      <c r="L173" s="31">
        <f>SUMIFS(LinkFromRateBase!$I:$I,LinkFromRateBase!$E:$E,L$5,LinkFromRateBase!$F:$F,$D173)</f>
        <v>0</v>
      </c>
      <c r="M173" s="31">
        <f>SUMIFS(LinkFromRateBase!$I:$I,LinkFromRateBase!$E:$E,M$5,LinkFromRateBase!$F:$F,$D173)</f>
        <v>0</v>
      </c>
      <c r="N173" s="31">
        <f>SUMIFS(LinkFromRateBase!$I:$I,LinkFromRateBase!$E:$E,N$5,LinkFromRateBase!$F:$F,$D173)</f>
        <v>0</v>
      </c>
      <c r="O173" s="31">
        <f>SUMIFS(LinkFromRateBase!$I:$I,LinkFromRateBase!$E:$E,O$5,LinkFromRateBase!$F:$F,$D173)</f>
        <v>0</v>
      </c>
      <c r="P173" s="31">
        <f>SUMIFS(LinkFromRateBase!$I:$I,LinkFromRateBase!$E:$E,P$5,LinkFromRateBase!$F:$F,$D173)</f>
        <v>0</v>
      </c>
      <c r="Q173" s="31">
        <f>SUMIFS(LinkFromRateBase!$I:$I,LinkFromRateBase!$E:$E,Q$5,LinkFromRateBase!$F:$F,$D173)</f>
        <v>0</v>
      </c>
      <c r="R173" s="31">
        <f>SUMIFS(LinkFromRateBase!$I:$I,LinkFromRateBase!$E:$E,R$5,LinkFromRateBase!$F:$F,$D173)</f>
        <v>0</v>
      </c>
      <c r="S173" s="31">
        <f>SUMIFS(LinkFromRateBase!$I:$I,LinkFromRateBase!$E:$E,S$5,LinkFromRateBase!$F:$F,$D173)</f>
        <v>0</v>
      </c>
      <c r="T173" s="31">
        <f>SUMIFS(LinkFromRateBase!$I:$I,LinkFromRateBase!$E:$E,T$5,LinkFromRateBase!$F:$F,$D173)</f>
        <v>0</v>
      </c>
      <c r="U173" s="31">
        <f>SUMIFS(LinkFromRateBase!$I:$I,LinkFromRateBase!$E:$E,U$5,LinkFromRateBase!$F:$F,$D173)</f>
        <v>0</v>
      </c>
      <c r="V173" s="31"/>
      <c r="W173"/>
    </row>
    <row r="174" spans="2:23" x14ac:dyDescent="0.25">
      <c r="B174" s="14"/>
      <c r="F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/>
    </row>
    <row r="175" spans="2:23" x14ac:dyDescent="0.25">
      <c r="B175" s="14"/>
      <c r="C175" s="1" t="s">
        <v>6925</v>
      </c>
      <c r="F175" s="31"/>
      <c r="H175" s="31">
        <f>SUMIFS(LinkFromRateBase!$I:$I,LinkFromRateBase!$E:$E,H$5,LinkFromRateBase!$F:$F,$D175)</f>
        <v>0</v>
      </c>
      <c r="I175" s="31">
        <f>SUMIFS(LinkFromRateBase!$I:$I,LinkFromRateBase!$E:$E,I$5,LinkFromRateBase!$F:$F,$D175)</f>
        <v>0</v>
      </c>
      <c r="J175" s="31">
        <f>SUMIFS(LinkFromRateBase!$I:$I,LinkFromRateBase!$E:$E,J$5,LinkFromRateBase!$F:$F,$D175)</f>
        <v>0</v>
      </c>
      <c r="K175" s="31">
        <f>SUMIFS(LinkFromRateBase!$I:$I,LinkFromRateBase!$E:$E,K$5,LinkFromRateBase!$F:$F,$D175)</f>
        <v>0</v>
      </c>
      <c r="L175" s="31">
        <f>SUMIFS(LinkFromRateBase!$I:$I,LinkFromRateBase!$E:$E,L$5,LinkFromRateBase!$F:$F,$D175)</f>
        <v>0</v>
      </c>
      <c r="M175" s="31">
        <f>SUMIFS(LinkFromRateBase!$I:$I,LinkFromRateBase!$E:$E,M$5,LinkFromRateBase!$F:$F,$D175)</f>
        <v>0</v>
      </c>
      <c r="N175" s="31">
        <f>SUMIFS(LinkFromRateBase!$I:$I,LinkFromRateBase!$E:$E,N$5,LinkFromRateBase!$F:$F,$D175)</f>
        <v>0</v>
      </c>
      <c r="O175" s="31">
        <f>SUMIFS(LinkFromRateBase!$I:$I,LinkFromRateBase!$E:$E,O$5,LinkFromRateBase!$F:$F,$D175)</f>
        <v>0</v>
      </c>
      <c r="P175" s="31">
        <f>SUMIFS(LinkFromRateBase!$I:$I,LinkFromRateBase!$E:$E,P$5,LinkFromRateBase!$F:$F,$D175)</f>
        <v>0</v>
      </c>
      <c r="Q175" s="31">
        <f>SUMIFS(LinkFromRateBase!$I:$I,LinkFromRateBase!$E:$E,Q$5,LinkFromRateBase!$F:$F,$D175)</f>
        <v>0</v>
      </c>
      <c r="R175" s="31">
        <f>SUMIFS(LinkFromRateBase!$I:$I,LinkFromRateBase!$E:$E,R$5,LinkFromRateBase!$F:$F,$D175)</f>
        <v>0</v>
      </c>
      <c r="S175" s="31">
        <f>SUMIFS(LinkFromRateBase!$I:$I,LinkFromRateBase!$E:$E,S$5,LinkFromRateBase!$F:$F,$D175)</f>
        <v>0</v>
      </c>
      <c r="T175" s="31">
        <f>SUMIFS(LinkFromRateBase!$I:$I,LinkFromRateBase!$E:$E,T$5,LinkFromRateBase!$F:$F,$D175)</f>
        <v>0</v>
      </c>
      <c r="U175" s="31">
        <f>SUMIFS(LinkFromRateBase!$I:$I,LinkFromRateBase!$E:$E,U$5,LinkFromRateBase!$F:$F,$D175)</f>
        <v>0</v>
      </c>
      <c r="V175" s="31"/>
      <c r="W175"/>
    </row>
    <row r="176" spans="2:23" x14ac:dyDescent="0.25">
      <c r="B176" s="226" t="s">
        <v>7190</v>
      </c>
      <c r="D176" s="15" t="s">
        <v>7991</v>
      </c>
      <c r="F176" s="31">
        <f t="shared" ref="F176:F180" si="21">SUM(H176:U176)</f>
        <v>0</v>
      </c>
      <c r="H176" s="31">
        <f>SUMIFS(LinkFromRateBase!$I:$I,LinkFromRateBase!$E:$E,H$5,LinkFromRateBase!$F:$F,$D176)</f>
        <v>0</v>
      </c>
      <c r="I176" s="31">
        <f>SUMIFS(LinkFromRateBase!$I:$I,LinkFromRateBase!$E:$E,I$5,LinkFromRateBase!$F:$F,$D176)</f>
        <v>0</v>
      </c>
      <c r="J176" s="31">
        <f>SUMIFS(LinkFromRateBase!$I:$I,LinkFromRateBase!$E:$E,J$5,LinkFromRateBase!$F:$F,$D176)</f>
        <v>0</v>
      </c>
      <c r="K176" s="31">
        <f>SUMIFS(LinkFromRateBase!$I:$I,LinkFromRateBase!$E:$E,K$5,LinkFromRateBase!$F:$F,$D176)</f>
        <v>0</v>
      </c>
      <c r="L176" s="31">
        <f>SUMIFS(LinkFromRateBase!$I:$I,LinkFromRateBase!$E:$E,L$5,LinkFromRateBase!$F:$F,$D176)</f>
        <v>0</v>
      </c>
      <c r="M176" s="31">
        <f>SUMIFS(LinkFromRateBase!$I:$I,LinkFromRateBase!$E:$E,M$5,LinkFromRateBase!$F:$F,$D176)</f>
        <v>0</v>
      </c>
      <c r="N176" s="31">
        <f>SUMIFS(LinkFromRateBase!$I:$I,LinkFromRateBase!$E:$E,N$5,LinkFromRateBase!$F:$F,$D176)</f>
        <v>0</v>
      </c>
      <c r="O176" s="31">
        <f>SUMIFS(LinkFromRateBase!$I:$I,LinkFromRateBase!$E:$E,O$5,LinkFromRateBase!$F:$F,$D176)</f>
        <v>0</v>
      </c>
      <c r="P176" s="31">
        <f>SUMIFS(LinkFromRateBase!$I:$I,LinkFromRateBase!$E:$E,P$5,LinkFromRateBase!$F:$F,$D176)</f>
        <v>0</v>
      </c>
      <c r="Q176" s="31">
        <f>SUMIFS(LinkFromRateBase!$I:$I,LinkFromRateBase!$E:$E,Q$5,LinkFromRateBase!$F:$F,$D176)</f>
        <v>0</v>
      </c>
      <c r="R176" s="31">
        <f>SUMIFS(LinkFromRateBase!$I:$I,LinkFromRateBase!$E:$E,R$5,LinkFromRateBase!$F:$F,$D176)</f>
        <v>0</v>
      </c>
      <c r="S176" s="31">
        <f>SUMIFS(LinkFromRateBase!$I:$I,LinkFromRateBase!$E:$E,S$5,LinkFromRateBase!$F:$F,$D176)</f>
        <v>0</v>
      </c>
      <c r="T176" s="31">
        <f>SUMIFS(LinkFromRateBase!$I:$I,LinkFromRateBase!$E:$E,T$5,LinkFromRateBase!$F:$F,$D176)</f>
        <v>0</v>
      </c>
      <c r="U176" s="31">
        <f>SUMIFS(LinkFromRateBase!$I:$I,LinkFromRateBase!$E:$E,U$5,LinkFromRateBase!$F:$F,$D176)</f>
        <v>0</v>
      </c>
      <c r="V176" s="31"/>
      <c r="W176"/>
    </row>
    <row r="177" spans="2:23" x14ac:dyDescent="0.25">
      <c r="B177" s="225" t="s">
        <v>7199</v>
      </c>
      <c r="D177" s="2" t="s">
        <v>7993</v>
      </c>
      <c r="F177" s="31">
        <f t="shared" si="21"/>
        <v>122253</v>
      </c>
      <c r="H177" s="31">
        <f>SUMIFS(LinkFromRateBase!$I:$I,LinkFromRateBase!$E:$E,H$5,LinkFromRateBase!$F:$F,$D177)</f>
        <v>0</v>
      </c>
      <c r="I177" s="31">
        <f>SUMIFS(LinkFromRateBase!$I:$I,LinkFromRateBase!$E:$E,I$5,LinkFromRateBase!$F:$F,$D177)</f>
        <v>122253</v>
      </c>
      <c r="J177" s="31">
        <f>SUMIFS(LinkFromRateBase!$I:$I,LinkFromRateBase!$E:$E,J$5,LinkFromRateBase!$F:$F,$D177)</f>
        <v>0</v>
      </c>
      <c r="K177" s="31">
        <f>SUMIFS(LinkFromRateBase!$I:$I,LinkFromRateBase!$E:$E,K$5,LinkFromRateBase!$F:$F,$D177)</f>
        <v>0</v>
      </c>
      <c r="L177" s="31">
        <f>SUMIFS(LinkFromRateBase!$I:$I,LinkFromRateBase!$E:$E,L$5,LinkFromRateBase!$F:$F,$D177)</f>
        <v>0</v>
      </c>
      <c r="M177" s="31">
        <f>SUMIFS(LinkFromRateBase!$I:$I,LinkFromRateBase!$E:$E,M$5,LinkFromRateBase!$F:$F,$D177)</f>
        <v>0</v>
      </c>
      <c r="N177" s="31">
        <f>SUMIFS(LinkFromRateBase!$I:$I,LinkFromRateBase!$E:$E,N$5,LinkFromRateBase!$F:$F,$D177)</f>
        <v>0</v>
      </c>
      <c r="O177" s="31">
        <f>SUMIFS(LinkFromRateBase!$I:$I,LinkFromRateBase!$E:$E,O$5,LinkFromRateBase!$F:$F,$D177)</f>
        <v>0</v>
      </c>
      <c r="P177" s="31">
        <f>SUMIFS(LinkFromRateBase!$I:$I,LinkFromRateBase!$E:$E,P$5,LinkFromRateBase!$F:$F,$D177)</f>
        <v>0</v>
      </c>
      <c r="Q177" s="31">
        <f>SUMIFS(LinkFromRateBase!$I:$I,LinkFromRateBase!$E:$E,Q$5,LinkFromRateBase!$F:$F,$D177)</f>
        <v>0</v>
      </c>
      <c r="R177" s="31">
        <f>SUMIFS(LinkFromRateBase!$I:$I,LinkFromRateBase!$E:$E,R$5,LinkFromRateBase!$F:$F,$D177)</f>
        <v>0</v>
      </c>
      <c r="S177" s="31">
        <f>SUMIFS(LinkFromRateBase!$I:$I,LinkFromRateBase!$E:$E,S$5,LinkFromRateBase!$F:$F,$D177)</f>
        <v>0</v>
      </c>
      <c r="T177" s="31">
        <f>SUMIFS(LinkFromRateBase!$I:$I,LinkFromRateBase!$E:$E,T$5,LinkFromRateBase!$F:$F,$D177)</f>
        <v>0</v>
      </c>
      <c r="U177" s="31">
        <f>SUMIFS(LinkFromRateBase!$I:$I,LinkFromRateBase!$E:$E,U$5,LinkFromRateBase!$F:$F,$D177)</f>
        <v>0</v>
      </c>
      <c r="V177" s="31"/>
      <c r="W177"/>
    </row>
    <row r="178" spans="2:23" x14ac:dyDescent="0.25">
      <c r="B178" s="225" t="s">
        <v>7216</v>
      </c>
      <c r="D178" s="2" t="s">
        <v>7995</v>
      </c>
      <c r="F178" s="31">
        <f t="shared" si="21"/>
        <v>23930</v>
      </c>
      <c r="H178" s="31">
        <f>SUMIFS(LinkFromRateBase!$I:$I,LinkFromRateBase!$E:$E,H$5,LinkFromRateBase!$F:$F,$D178)</f>
        <v>0</v>
      </c>
      <c r="I178" s="31">
        <f>SUMIFS(LinkFromRateBase!$I:$I,LinkFromRateBase!$E:$E,I$5,LinkFromRateBase!$F:$F,$D178)</f>
        <v>0</v>
      </c>
      <c r="J178" s="31">
        <f>SUMIFS(LinkFromRateBase!$I:$I,LinkFromRateBase!$E:$E,J$5,LinkFromRateBase!$F:$F,$D178)</f>
        <v>0</v>
      </c>
      <c r="K178" s="31">
        <f>SUMIFS(LinkFromRateBase!$I:$I,LinkFromRateBase!$E:$E,K$5,LinkFromRateBase!$F:$F,$D178)</f>
        <v>23930</v>
      </c>
      <c r="L178" s="31">
        <f>SUMIFS(LinkFromRateBase!$I:$I,LinkFromRateBase!$E:$E,L$5,LinkFromRateBase!$F:$F,$D178)</f>
        <v>0</v>
      </c>
      <c r="M178" s="31">
        <f>SUMIFS(LinkFromRateBase!$I:$I,LinkFromRateBase!$E:$E,M$5,LinkFromRateBase!$F:$F,$D178)</f>
        <v>0</v>
      </c>
      <c r="N178" s="31">
        <f>SUMIFS(LinkFromRateBase!$I:$I,LinkFromRateBase!$E:$E,N$5,LinkFromRateBase!$F:$F,$D178)</f>
        <v>0</v>
      </c>
      <c r="O178" s="31">
        <f>SUMIFS(LinkFromRateBase!$I:$I,LinkFromRateBase!$E:$E,O$5,LinkFromRateBase!$F:$F,$D178)</f>
        <v>0</v>
      </c>
      <c r="P178" s="31">
        <f>SUMIFS(LinkFromRateBase!$I:$I,LinkFromRateBase!$E:$E,P$5,LinkFromRateBase!$F:$F,$D178)</f>
        <v>0</v>
      </c>
      <c r="Q178" s="31">
        <f>SUMIFS(LinkFromRateBase!$I:$I,LinkFromRateBase!$E:$E,Q$5,LinkFromRateBase!$F:$F,$D178)</f>
        <v>0</v>
      </c>
      <c r="R178" s="31">
        <f>SUMIFS(LinkFromRateBase!$I:$I,LinkFromRateBase!$E:$E,R$5,LinkFromRateBase!$F:$F,$D178)</f>
        <v>0</v>
      </c>
      <c r="S178" s="31">
        <f>SUMIFS(LinkFromRateBase!$I:$I,LinkFromRateBase!$E:$E,S$5,LinkFromRateBase!$F:$F,$D178)</f>
        <v>0</v>
      </c>
      <c r="T178" s="31">
        <f>SUMIFS(LinkFromRateBase!$I:$I,LinkFromRateBase!$E:$E,T$5,LinkFromRateBase!$F:$F,$D178)</f>
        <v>0</v>
      </c>
      <c r="U178" s="31">
        <f>SUMIFS(LinkFromRateBase!$I:$I,LinkFromRateBase!$E:$E,U$5,LinkFromRateBase!$F:$F,$D178)</f>
        <v>0</v>
      </c>
      <c r="V178" s="31"/>
      <c r="W178"/>
    </row>
    <row r="179" spans="2:23" x14ac:dyDescent="0.25">
      <c r="B179" s="225" t="s">
        <v>7218</v>
      </c>
      <c r="D179" s="2" t="s">
        <v>7997</v>
      </c>
      <c r="F179" s="31">
        <f t="shared" si="21"/>
        <v>140151</v>
      </c>
      <c r="H179" s="31">
        <f>SUMIFS(LinkFromRateBase!$I:$I,LinkFromRateBase!$E:$E,H$5,LinkFromRateBase!$F:$F,$D179)</f>
        <v>0</v>
      </c>
      <c r="I179" s="31">
        <f>SUMIFS(LinkFromRateBase!$I:$I,LinkFromRateBase!$E:$E,I$5,LinkFromRateBase!$F:$F,$D179)</f>
        <v>0</v>
      </c>
      <c r="J179" s="31">
        <f>SUMIFS(LinkFromRateBase!$I:$I,LinkFromRateBase!$E:$E,J$5,LinkFromRateBase!$F:$F,$D179)</f>
        <v>0</v>
      </c>
      <c r="K179" s="31">
        <f>SUMIFS(LinkFromRateBase!$I:$I,LinkFromRateBase!$E:$E,K$5,LinkFromRateBase!$F:$F,$D179)</f>
        <v>140151</v>
      </c>
      <c r="L179" s="31">
        <f>SUMIFS(LinkFromRateBase!$I:$I,LinkFromRateBase!$E:$E,L$5,LinkFromRateBase!$F:$F,$D179)</f>
        <v>0</v>
      </c>
      <c r="M179" s="31">
        <f>SUMIFS(LinkFromRateBase!$I:$I,LinkFromRateBase!$E:$E,M$5,LinkFromRateBase!$F:$F,$D179)</f>
        <v>0</v>
      </c>
      <c r="N179" s="31">
        <f>SUMIFS(LinkFromRateBase!$I:$I,LinkFromRateBase!$E:$E,N$5,LinkFromRateBase!$F:$F,$D179)</f>
        <v>0</v>
      </c>
      <c r="O179" s="31">
        <f>SUMIFS(LinkFromRateBase!$I:$I,LinkFromRateBase!$E:$E,O$5,LinkFromRateBase!$F:$F,$D179)</f>
        <v>0</v>
      </c>
      <c r="P179" s="31">
        <f>SUMIFS(LinkFromRateBase!$I:$I,LinkFromRateBase!$E:$E,P$5,LinkFromRateBase!$F:$F,$D179)</f>
        <v>0</v>
      </c>
      <c r="Q179" s="31">
        <f>SUMIFS(LinkFromRateBase!$I:$I,LinkFromRateBase!$E:$E,Q$5,LinkFromRateBase!$F:$F,$D179)</f>
        <v>0</v>
      </c>
      <c r="R179" s="31">
        <f>SUMIFS(LinkFromRateBase!$I:$I,LinkFromRateBase!$E:$E,R$5,LinkFromRateBase!$F:$F,$D179)</f>
        <v>0</v>
      </c>
      <c r="S179" s="31">
        <f>SUMIFS(LinkFromRateBase!$I:$I,LinkFromRateBase!$E:$E,S$5,LinkFromRateBase!$F:$F,$D179)</f>
        <v>0</v>
      </c>
      <c r="T179" s="31">
        <f>SUMIFS(LinkFromRateBase!$I:$I,LinkFromRateBase!$E:$E,T$5,LinkFromRateBase!$F:$F,$D179)</f>
        <v>0</v>
      </c>
      <c r="U179" s="31">
        <f>SUMIFS(LinkFromRateBase!$I:$I,LinkFromRateBase!$E:$E,U$5,LinkFromRateBase!$F:$F,$D179)</f>
        <v>0</v>
      </c>
      <c r="V179" s="31"/>
      <c r="W179"/>
    </row>
    <row r="180" spans="2:23" x14ac:dyDescent="0.25">
      <c r="B180" s="225" t="s">
        <v>7218</v>
      </c>
      <c r="D180" s="2" t="s">
        <v>7999</v>
      </c>
      <c r="F180" s="31">
        <f t="shared" si="21"/>
        <v>2691</v>
      </c>
      <c r="H180" s="31">
        <f>SUMIFS(LinkFromRateBase!$I:$I,LinkFromRateBase!$E:$E,H$5,LinkFromRateBase!$F:$F,$D180)</f>
        <v>0</v>
      </c>
      <c r="I180" s="31">
        <f>SUMIFS(LinkFromRateBase!$I:$I,LinkFromRateBase!$E:$E,I$5,LinkFromRateBase!$F:$F,$D180)</f>
        <v>0</v>
      </c>
      <c r="J180" s="31">
        <f>SUMIFS(LinkFromRateBase!$I:$I,LinkFromRateBase!$E:$E,J$5,LinkFromRateBase!$F:$F,$D180)</f>
        <v>0</v>
      </c>
      <c r="K180" s="31">
        <f>SUMIFS(LinkFromRateBase!$I:$I,LinkFromRateBase!$E:$E,K$5,LinkFromRateBase!$F:$F,$D180)</f>
        <v>2691</v>
      </c>
      <c r="L180" s="31">
        <f>SUMIFS(LinkFromRateBase!$I:$I,LinkFromRateBase!$E:$E,L$5,LinkFromRateBase!$F:$F,$D180)</f>
        <v>0</v>
      </c>
      <c r="M180" s="31">
        <f>SUMIFS(LinkFromRateBase!$I:$I,LinkFromRateBase!$E:$E,M$5,LinkFromRateBase!$F:$F,$D180)</f>
        <v>0</v>
      </c>
      <c r="N180" s="31">
        <f>SUMIFS(LinkFromRateBase!$I:$I,LinkFromRateBase!$E:$E,N$5,LinkFromRateBase!$F:$F,$D180)</f>
        <v>0</v>
      </c>
      <c r="O180" s="31">
        <f>SUMIFS(LinkFromRateBase!$I:$I,LinkFromRateBase!$E:$E,O$5,LinkFromRateBase!$F:$F,$D180)</f>
        <v>0</v>
      </c>
      <c r="P180" s="31">
        <f>SUMIFS(LinkFromRateBase!$I:$I,LinkFromRateBase!$E:$E,P$5,LinkFromRateBase!$F:$F,$D180)</f>
        <v>0</v>
      </c>
      <c r="Q180" s="31">
        <f>SUMIFS(LinkFromRateBase!$I:$I,LinkFromRateBase!$E:$E,Q$5,LinkFromRateBase!$F:$F,$D180)</f>
        <v>0</v>
      </c>
      <c r="R180" s="31">
        <f>SUMIFS(LinkFromRateBase!$I:$I,LinkFromRateBase!$E:$E,R$5,LinkFromRateBase!$F:$F,$D180)</f>
        <v>0</v>
      </c>
      <c r="S180" s="31">
        <f>SUMIFS(LinkFromRateBase!$I:$I,LinkFromRateBase!$E:$E,S$5,LinkFromRateBase!$F:$F,$D180)</f>
        <v>0</v>
      </c>
      <c r="T180" s="31">
        <f>SUMIFS(LinkFromRateBase!$I:$I,LinkFromRateBase!$E:$E,T$5,LinkFromRateBase!$F:$F,$D180)</f>
        <v>0</v>
      </c>
      <c r="U180" s="31">
        <f>SUMIFS(LinkFromRateBase!$I:$I,LinkFromRateBase!$E:$E,U$5,LinkFromRateBase!$F:$F,$D180)</f>
        <v>0</v>
      </c>
      <c r="V180" s="31"/>
      <c r="W180"/>
    </row>
    <row r="181" spans="2:23" x14ac:dyDescent="0.25">
      <c r="B181" s="13"/>
      <c r="F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/>
    </row>
    <row r="182" spans="2:23" x14ac:dyDescent="0.25">
      <c r="B182" s="14"/>
      <c r="C182" s="1" t="s">
        <v>6926</v>
      </c>
      <c r="F182" s="31"/>
      <c r="H182" s="31">
        <f>SUMIFS(LinkFromRateBase!$I:$I,LinkFromRateBase!$E:$E,H$5,LinkFromRateBase!$F:$F,$D182)</f>
        <v>0</v>
      </c>
      <c r="I182" s="31">
        <f>SUMIFS(LinkFromRateBase!$I:$I,LinkFromRateBase!$E:$E,I$5,LinkFromRateBase!$F:$F,$D182)</f>
        <v>0</v>
      </c>
      <c r="J182" s="31">
        <f>SUMIFS(LinkFromRateBase!$I:$I,LinkFromRateBase!$E:$E,J$5,LinkFromRateBase!$F:$F,$D182)</f>
        <v>0</v>
      </c>
      <c r="K182" s="31">
        <f>SUMIFS(LinkFromRateBase!$I:$I,LinkFromRateBase!$E:$E,K$5,LinkFromRateBase!$F:$F,$D182)</f>
        <v>0</v>
      </c>
      <c r="L182" s="31">
        <f>SUMIFS(LinkFromRateBase!$I:$I,LinkFromRateBase!$E:$E,L$5,LinkFromRateBase!$F:$F,$D182)</f>
        <v>0</v>
      </c>
      <c r="M182" s="31">
        <f>SUMIFS(LinkFromRateBase!$I:$I,LinkFromRateBase!$E:$E,M$5,LinkFromRateBase!$F:$F,$D182)</f>
        <v>0</v>
      </c>
      <c r="N182" s="31">
        <f>SUMIFS(LinkFromRateBase!$I:$I,LinkFromRateBase!$E:$E,N$5,LinkFromRateBase!$F:$F,$D182)</f>
        <v>0</v>
      </c>
      <c r="O182" s="31">
        <f>SUMIFS(LinkFromRateBase!$I:$I,LinkFromRateBase!$E:$E,O$5,LinkFromRateBase!$F:$F,$D182)</f>
        <v>0</v>
      </c>
      <c r="P182" s="31">
        <f>SUMIFS(LinkFromRateBase!$I:$I,LinkFromRateBase!$E:$E,P$5,LinkFromRateBase!$F:$F,$D182)</f>
        <v>0</v>
      </c>
      <c r="Q182" s="31">
        <f>SUMIFS(LinkFromRateBase!$I:$I,LinkFromRateBase!$E:$E,Q$5,LinkFromRateBase!$F:$F,$D182)</f>
        <v>0</v>
      </c>
      <c r="R182" s="31">
        <f>SUMIFS(LinkFromRateBase!$I:$I,LinkFromRateBase!$E:$E,R$5,LinkFromRateBase!$F:$F,$D182)</f>
        <v>0</v>
      </c>
      <c r="S182" s="31">
        <f>SUMIFS(LinkFromRateBase!$I:$I,LinkFromRateBase!$E:$E,S$5,LinkFromRateBase!$F:$F,$D182)</f>
        <v>0</v>
      </c>
      <c r="T182" s="31">
        <f>SUMIFS(LinkFromRateBase!$I:$I,LinkFromRateBase!$E:$E,T$5,LinkFromRateBase!$F:$F,$D182)</f>
        <v>0</v>
      </c>
      <c r="U182" s="31">
        <f>SUMIFS(LinkFromRateBase!$I:$I,LinkFromRateBase!$E:$E,U$5,LinkFromRateBase!$F:$F,$D182)</f>
        <v>0</v>
      </c>
      <c r="V182" s="31"/>
      <c r="W182"/>
    </row>
    <row r="183" spans="2:23" x14ac:dyDescent="0.25">
      <c r="B183" s="227" t="s">
        <v>7193</v>
      </c>
      <c r="D183" s="15" t="s">
        <v>8001</v>
      </c>
      <c r="F183" s="31">
        <f t="shared" ref="F183:F188" si="22">SUM(H183:U183)</f>
        <v>0</v>
      </c>
      <c r="H183" s="31">
        <f>SUMIFS(LinkFromRateBase!$I:$I,LinkFromRateBase!$E:$E,H$5,LinkFromRateBase!$F:$F,$D183)</f>
        <v>0</v>
      </c>
      <c r="I183" s="31">
        <f>SUMIFS(LinkFromRateBase!$I:$I,LinkFromRateBase!$E:$E,I$5,LinkFromRateBase!$F:$F,$D183)</f>
        <v>0</v>
      </c>
      <c r="J183" s="31">
        <f>SUMIFS(LinkFromRateBase!$I:$I,LinkFromRateBase!$E:$E,J$5,LinkFromRateBase!$F:$F,$D183)</f>
        <v>0</v>
      </c>
      <c r="K183" s="31">
        <f>SUMIFS(LinkFromRateBase!$I:$I,LinkFromRateBase!$E:$E,K$5,LinkFromRateBase!$F:$F,$D183)</f>
        <v>0</v>
      </c>
      <c r="L183" s="31">
        <f>SUMIFS(LinkFromRateBase!$I:$I,LinkFromRateBase!$E:$E,L$5,LinkFromRateBase!$F:$F,$D183)</f>
        <v>0</v>
      </c>
      <c r="M183" s="31">
        <f>SUMIFS(LinkFromRateBase!$I:$I,LinkFromRateBase!$E:$E,M$5,LinkFromRateBase!$F:$F,$D183)</f>
        <v>0</v>
      </c>
      <c r="N183" s="31">
        <f>SUMIFS(LinkFromRateBase!$I:$I,LinkFromRateBase!$E:$E,N$5,LinkFromRateBase!$F:$F,$D183)</f>
        <v>0</v>
      </c>
      <c r="O183" s="31">
        <f>SUMIFS(LinkFromRateBase!$I:$I,LinkFromRateBase!$E:$E,O$5,LinkFromRateBase!$F:$F,$D183)</f>
        <v>0</v>
      </c>
      <c r="P183" s="31">
        <f>SUMIFS(LinkFromRateBase!$I:$I,LinkFromRateBase!$E:$E,P$5,LinkFromRateBase!$F:$F,$D183)</f>
        <v>0</v>
      </c>
      <c r="Q183" s="31">
        <f>SUMIFS(LinkFromRateBase!$I:$I,LinkFromRateBase!$E:$E,Q$5,LinkFromRateBase!$F:$F,$D183)</f>
        <v>0</v>
      </c>
      <c r="R183" s="31">
        <f>SUMIFS(LinkFromRateBase!$I:$I,LinkFromRateBase!$E:$E,R$5,LinkFromRateBase!$F:$F,$D183)</f>
        <v>0</v>
      </c>
      <c r="S183" s="31">
        <f>SUMIFS(LinkFromRateBase!$I:$I,LinkFromRateBase!$E:$E,S$5,LinkFromRateBase!$F:$F,$D183)</f>
        <v>0</v>
      </c>
      <c r="T183" s="31">
        <f>SUMIFS(LinkFromRateBase!$I:$I,LinkFromRateBase!$E:$E,T$5,LinkFromRateBase!$F:$F,$D183)</f>
        <v>0</v>
      </c>
      <c r="U183" s="31">
        <f>SUMIFS(LinkFromRateBase!$I:$I,LinkFromRateBase!$E:$E,U$5,LinkFromRateBase!$F:$F,$D183)</f>
        <v>0</v>
      </c>
      <c r="V183" s="31"/>
      <c r="W183"/>
    </row>
    <row r="184" spans="2:23" x14ac:dyDescent="0.25">
      <c r="B184" s="225" t="s">
        <v>7202</v>
      </c>
      <c r="D184" s="2" t="s">
        <v>8003</v>
      </c>
      <c r="F184" s="31">
        <f t="shared" si="22"/>
        <v>378334</v>
      </c>
      <c r="H184" s="31">
        <f>SUMIFS(LinkFromRateBase!$I:$I,LinkFromRateBase!$E:$E,H$5,LinkFromRateBase!$F:$F,$D184)</f>
        <v>0</v>
      </c>
      <c r="I184" s="31">
        <f>SUMIFS(LinkFromRateBase!$I:$I,LinkFromRateBase!$E:$E,I$5,LinkFromRateBase!$F:$F,$D184)</f>
        <v>0</v>
      </c>
      <c r="J184" s="31">
        <f>SUMIFS(LinkFromRateBase!$I:$I,LinkFromRateBase!$E:$E,J$5,LinkFromRateBase!$F:$F,$D184)</f>
        <v>378334</v>
      </c>
      <c r="K184" s="31">
        <f>SUMIFS(LinkFromRateBase!$I:$I,LinkFromRateBase!$E:$E,K$5,LinkFromRateBase!$F:$F,$D184)</f>
        <v>0</v>
      </c>
      <c r="L184" s="31">
        <f>SUMIFS(LinkFromRateBase!$I:$I,LinkFromRateBase!$E:$E,L$5,LinkFromRateBase!$F:$F,$D184)</f>
        <v>0</v>
      </c>
      <c r="M184" s="31">
        <f>SUMIFS(LinkFromRateBase!$I:$I,LinkFromRateBase!$E:$E,M$5,LinkFromRateBase!$F:$F,$D184)</f>
        <v>0</v>
      </c>
      <c r="N184" s="31">
        <f>SUMIFS(LinkFromRateBase!$I:$I,LinkFromRateBase!$E:$E,N$5,LinkFromRateBase!$F:$F,$D184)</f>
        <v>0</v>
      </c>
      <c r="O184" s="31">
        <f>SUMIFS(LinkFromRateBase!$I:$I,LinkFromRateBase!$E:$E,O$5,LinkFromRateBase!$F:$F,$D184)</f>
        <v>0</v>
      </c>
      <c r="P184" s="31">
        <f>SUMIFS(LinkFromRateBase!$I:$I,LinkFromRateBase!$E:$E,P$5,LinkFromRateBase!$F:$F,$D184)</f>
        <v>0</v>
      </c>
      <c r="Q184" s="31">
        <f>SUMIFS(LinkFromRateBase!$I:$I,LinkFromRateBase!$E:$E,Q$5,LinkFromRateBase!$F:$F,$D184)</f>
        <v>0</v>
      </c>
      <c r="R184" s="31">
        <f>SUMIFS(LinkFromRateBase!$I:$I,LinkFromRateBase!$E:$E,R$5,LinkFromRateBase!$F:$F,$D184)</f>
        <v>0</v>
      </c>
      <c r="S184" s="31">
        <f>SUMIFS(LinkFromRateBase!$I:$I,LinkFromRateBase!$E:$E,S$5,LinkFromRateBase!$F:$F,$D184)</f>
        <v>0</v>
      </c>
      <c r="T184" s="31">
        <f>SUMIFS(LinkFromRateBase!$I:$I,LinkFromRateBase!$E:$E,T$5,LinkFromRateBase!$F:$F,$D184)</f>
        <v>0</v>
      </c>
      <c r="U184" s="31">
        <f>SUMIFS(LinkFromRateBase!$I:$I,LinkFromRateBase!$E:$E,U$5,LinkFromRateBase!$F:$F,$D184)</f>
        <v>0</v>
      </c>
      <c r="V184" s="31"/>
      <c r="W184"/>
    </row>
    <row r="185" spans="2:23" x14ac:dyDescent="0.25">
      <c r="B185" s="225" t="s">
        <v>7226</v>
      </c>
      <c r="D185" s="2" t="s">
        <v>8005</v>
      </c>
      <c r="F185" s="31">
        <f t="shared" si="22"/>
        <v>0</v>
      </c>
      <c r="H185" s="31">
        <f>SUMIFS(LinkFromRateBase!$I:$I,LinkFromRateBase!$E:$E,H$5,LinkFromRateBase!$F:$F,$D185)</f>
        <v>0</v>
      </c>
      <c r="I185" s="31">
        <f>SUMIFS(LinkFromRateBase!$I:$I,LinkFromRateBase!$E:$E,I$5,LinkFromRateBase!$F:$F,$D185)</f>
        <v>0</v>
      </c>
      <c r="J185" s="31">
        <f>SUMIFS(LinkFromRateBase!$I:$I,LinkFromRateBase!$E:$E,J$5,LinkFromRateBase!$F:$F,$D185)</f>
        <v>0</v>
      </c>
      <c r="K185" s="31">
        <f>SUMIFS(LinkFromRateBase!$I:$I,LinkFromRateBase!$E:$E,K$5,LinkFromRateBase!$F:$F,$D185)</f>
        <v>0</v>
      </c>
      <c r="L185" s="31">
        <f>SUMIFS(LinkFromRateBase!$I:$I,LinkFromRateBase!$E:$E,L$5,LinkFromRateBase!$F:$F,$D185)</f>
        <v>0</v>
      </c>
      <c r="M185" s="31">
        <f>SUMIFS(LinkFromRateBase!$I:$I,LinkFromRateBase!$E:$E,M$5,LinkFromRateBase!$F:$F,$D185)</f>
        <v>0</v>
      </c>
      <c r="N185" s="31">
        <f>SUMIFS(LinkFromRateBase!$I:$I,LinkFromRateBase!$E:$E,N$5,LinkFromRateBase!$F:$F,$D185)</f>
        <v>0</v>
      </c>
      <c r="O185" s="31">
        <f>SUMIFS(LinkFromRateBase!$I:$I,LinkFromRateBase!$E:$E,O$5,LinkFromRateBase!$F:$F,$D185)</f>
        <v>0</v>
      </c>
      <c r="P185" s="31">
        <f>SUMIFS(LinkFromRateBase!$I:$I,LinkFromRateBase!$E:$E,P$5,LinkFromRateBase!$F:$F,$D185)</f>
        <v>0</v>
      </c>
      <c r="Q185" s="31">
        <f>SUMIFS(LinkFromRateBase!$I:$I,LinkFromRateBase!$E:$E,Q$5,LinkFromRateBase!$F:$F,$D185)</f>
        <v>0</v>
      </c>
      <c r="R185" s="31">
        <f>SUMIFS(LinkFromRateBase!$I:$I,LinkFromRateBase!$E:$E,R$5,LinkFromRateBase!$F:$F,$D185)</f>
        <v>0</v>
      </c>
      <c r="S185" s="31">
        <f>SUMIFS(LinkFromRateBase!$I:$I,LinkFromRateBase!$E:$E,S$5,LinkFromRateBase!$F:$F,$D185)</f>
        <v>0</v>
      </c>
      <c r="T185" s="31">
        <f>SUMIFS(LinkFromRateBase!$I:$I,LinkFromRateBase!$E:$E,T$5,LinkFromRateBase!$F:$F,$D185)</f>
        <v>0</v>
      </c>
      <c r="U185" s="31">
        <f>SUMIFS(LinkFromRateBase!$I:$I,LinkFromRateBase!$E:$E,U$5,LinkFromRateBase!$F:$F,$D185)</f>
        <v>0</v>
      </c>
      <c r="V185" s="31"/>
      <c r="W185"/>
    </row>
    <row r="186" spans="2:23" x14ac:dyDescent="0.25">
      <c r="B186" s="225" t="s">
        <v>7230</v>
      </c>
      <c r="D186" s="2" t="s">
        <v>8007</v>
      </c>
      <c r="F186" s="31">
        <f t="shared" si="22"/>
        <v>321519</v>
      </c>
      <c r="H186" s="31">
        <f>SUMIFS(LinkFromRateBase!$I:$I,LinkFromRateBase!$E:$E,H$5,LinkFromRateBase!$F:$F,$D186)</f>
        <v>0</v>
      </c>
      <c r="I186" s="31">
        <f>SUMIFS(LinkFromRateBase!$I:$I,LinkFromRateBase!$E:$E,I$5,LinkFromRateBase!$F:$F,$D186)</f>
        <v>0</v>
      </c>
      <c r="J186" s="31">
        <f>SUMIFS(LinkFromRateBase!$I:$I,LinkFromRateBase!$E:$E,J$5,LinkFromRateBase!$F:$F,$D186)</f>
        <v>321519</v>
      </c>
      <c r="K186" s="31">
        <f>SUMIFS(LinkFromRateBase!$I:$I,LinkFromRateBase!$E:$E,K$5,LinkFromRateBase!$F:$F,$D186)</f>
        <v>0</v>
      </c>
      <c r="L186" s="31">
        <f>SUMIFS(LinkFromRateBase!$I:$I,LinkFromRateBase!$E:$E,L$5,LinkFromRateBase!$F:$F,$D186)</f>
        <v>0</v>
      </c>
      <c r="M186" s="31">
        <f>SUMIFS(LinkFromRateBase!$I:$I,LinkFromRateBase!$E:$E,M$5,LinkFromRateBase!$F:$F,$D186)</f>
        <v>0</v>
      </c>
      <c r="N186" s="31">
        <f>SUMIFS(LinkFromRateBase!$I:$I,LinkFromRateBase!$E:$E,N$5,LinkFromRateBase!$F:$F,$D186)</f>
        <v>0</v>
      </c>
      <c r="O186" s="31">
        <f>SUMIFS(LinkFromRateBase!$I:$I,LinkFromRateBase!$E:$E,O$5,LinkFromRateBase!$F:$F,$D186)</f>
        <v>0</v>
      </c>
      <c r="P186" s="31">
        <f>SUMIFS(LinkFromRateBase!$I:$I,LinkFromRateBase!$E:$E,P$5,LinkFromRateBase!$F:$F,$D186)</f>
        <v>0</v>
      </c>
      <c r="Q186" s="31">
        <f>SUMIFS(LinkFromRateBase!$I:$I,LinkFromRateBase!$E:$E,Q$5,LinkFromRateBase!$F:$F,$D186)</f>
        <v>0</v>
      </c>
      <c r="R186" s="31">
        <f>SUMIFS(LinkFromRateBase!$I:$I,LinkFromRateBase!$E:$E,R$5,LinkFromRateBase!$F:$F,$D186)</f>
        <v>0</v>
      </c>
      <c r="S186" s="31">
        <f>SUMIFS(LinkFromRateBase!$I:$I,LinkFromRateBase!$E:$E,S$5,LinkFromRateBase!$F:$F,$D186)</f>
        <v>0</v>
      </c>
      <c r="T186" s="31">
        <f>SUMIFS(LinkFromRateBase!$I:$I,LinkFromRateBase!$E:$E,T$5,LinkFromRateBase!$F:$F,$D186)</f>
        <v>0</v>
      </c>
      <c r="U186" s="31">
        <f>SUMIFS(LinkFromRateBase!$I:$I,LinkFromRateBase!$E:$E,U$5,LinkFromRateBase!$F:$F,$D186)</f>
        <v>0</v>
      </c>
      <c r="V186" s="31"/>
      <c r="W186"/>
    </row>
    <row r="187" spans="2:23" x14ac:dyDescent="0.25">
      <c r="B187" s="225" t="s">
        <v>7230</v>
      </c>
      <c r="D187" s="2" t="s">
        <v>8009</v>
      </c>
      <c r="F187" s="31">
        <f t="shared" si="22"/>
        <v>103075</v>
      </c>
      <c r="H187" s="31">
        <f>SUMIFS(LinkFromRateBase!$I:$I,LinkFromRateBase!$E:$E,H$5,LinkFromRateBase!$F:$F,$D187)</f>
        <v>0</v>
      </c>
      <c r="I187" s="31">
        <f>SUMIFS(LinkFromRateBase!$I:$I,LinkFromRateBase!$E:$E,I$5,LinkFromRateBase!$F:$F,$D187)</f>
        <v>0</v>
      </c>
      <c r="J187" s="31">
        <f>SUMIFS(LinkFromRateBase!$I:$I,LinkFromRateBase!$E:$E,J$5,LinkFromRateBase!$F:$F,$D187)</f>
        <v>103075</v>
      </c>
      <c r="K187" s="31">
        <f>SUMIFS(LinkFromRateBase!$I:$I,LinkFromRateBase!$E:$E,K$5,LinkFromRateBase!$F:$F,$D187)</f>
        <v>0</v>
      </c>
      <c r="L187" s="31">
        <f>SUMIFS(LinkFromRateBase!$I:$I,LinkFromRateBase!$E:$E,L$5,LinkFromRateBase!$F:$F,$D187)</f>
        <v>0</v>
      </c>
      <c r="M187" s="31">
        <f>SUMIFS(LinkFromRateBase!$I:$I,LinkFromRateBase!$E:$E,M$5,LinkFromRateBase!$F:$F,$D187)</f>
        <v>0</v>
      </c>
      <c r="N187" s="31">
        <f>SUMIFS(LinkFromRateBase!$I:$I,LinkFromRateBase!$E:$E,N$5,LinkFromRateBase!$F:$F,$D187)</f>
        <v>0</v>
      </c>
      <c r="O187" s="31">
        <f>SUMIFS(LinkFromRateBase!$I:$I,LinkFromRateBase!$E:$E,O$5,LinkFromRateBase!$F:$F,$D187)</f>
        <v>0</v>
      </c>
      <c r="P187" s="31">
        <f>SUMIFS(LinkFromRateBase!$I:$I,LinkFromRateBase!$E:$E,P$5,LinkFromRateBase!$F:$F,$D187)</f>
        <v>0</v>
      </c>
      <c r="Q187" s="31">
        <f>SUMIFS(LinkFromRateBase!$I:$I,LinkFromRateBase!$E:$E,Q$5,LinkFromRateBase!$F:$F,$D187)</f>
        <v>0</v>
      </c>
      <c r="R187" s="31">
        <f>SUMIFS(LinkFromRateBase!$I:$I,LinkFromRateBase!$E:$E,R$5,LinkFromRateBase!$F:$F,$D187)</f>
        <v>0</v>
      </c>
      <c r="S187" s="31">
        <f>SUMIFS(LinkFromRateBase!$I:$I,LinkFromRateBase!$E:$E,S$5,LinkFromRateBase!$F:$F,$D187)</f>
        <v>0</v>
      </c>
      <c r="T187" s="31">
        <f>SUMIFS(LinkFromRateBase!$I:$I,LinkFromRateBase!$E:$E,T$5,LinkFromRateBase!$F:$F,$D187)</f>
        <v>0</v>
      </c>
      <c r="U187" s="31">
        <f>SUMIFS(LinkFromRateBase!$I:$I,LinkFromRateBase!$E:$E,U$5,LinkFromRateBase!$F:$F,$D187)</f>
        <v>0</v>
      </c>
      <c r="V187" s="31"/>
      <c r="W187"/>
    </row>
    <row r="188" spans="2:23" x14ac:dyDescent="0.25">
      <c r="B188" s="225" t="s">
        <v>7244</v>
      </c>
      <c r="D188" s="2" t="s">
        <v>8011</v>
      </c>
      <c r="F188" s="31">
        <f t="shared" si="22"/>
        <v>864</v>
      </c>
      <c r="H188" s="31">
        <f>SUMIFS(LinkFromRateBase!$I:$I,LinkFromRateBase!$E:$E,H$5,LinkFromRateBase!$F:$F,$D188)</f>
        <v>0</v>
      </c>
      <c r="I188" s="31">
        <f>SUMIFS(LinkFromRateBase!$I:$I,LinkFromRateBase!$E:$E,I$5,LinkFromRateBase!$F:$F,$D188)</f>
        <v>0</v>
      </c>
      <c r="J188" s="31">
        <f>SUMIFS(LinkFromRateBase!$I:$I,LinkFromRateBase!$E:$E,J$5,LinkFromRateBase!$F:$F,$D188)</f>
        <v>864</v>
      </c>
      <c r="K188" s="31">
        <f>SUMIFS(LinkFromRateBase!$I:$I,LinkFromRateBase!$E:$E,K$5,LinkFromRateBase!$F:$F,$D188)</f>
        <v>0</v>
      </c>
      <c r="L188" s="31">
        <f>SUMIFS(LinkFromRateBase!$I:$I,LinkFromRateBase!$E:$E,L$5,LinkFromRateBase!$F:$F,$D188)</f>
        <v>0</v>
      </c>
      <c r="M188" s="31">
        <f>SUMIFS(LinkFromRateBase!$I:$I,LinkFromRateBase!$E:$E,M$5,LinkFromRateBase!$F:$F,$D188)</f>
        <v>0</v>
      </c>
      <c r="N188" s="31">
        <f>SUMIFS(LinkFromRateBase!$I:$I,LinkFromRateBase!$E:$E,N$5,LinkFromRateBase!$F:$F,$D188)</f>
        <v>0</v>
      </c>
      <c r="O188" s="31">
        <f>SUMIFS(LinkFromRateBase!$I:$I,LinkFromRateBase!$E:$E,O$5,LinkFromRateBase!$F:$F,$D188)</f>
        <v>0</v>
      </c>
      <c r="P188" s="31">
        <f>SUMIFS(LinkFromRateBase!$I:$I,LinkFromRateBase!$E:$E,P$5,LinkFromRateBase!$F:$F,$D188)</f>
        <v>0</v>
      </c>
      <c r="Q188" s="31">
        <f>SUMIFS(LinkFromRateBase!$I:$I,LinkFromRateBase!$E:$E,Q$5,LinkFromRateBase!$F:$F,$D188)</f>
        <v>0</v>
      </c>
      <c r="R188" s="31">
        <f>SUMIFS(LinkFromRateBase!$I:$I,LinkFromRateBase!$E:$E,R$5,LinkFromRateBase!$F:$F,$D188)</f>
        <v>0</v>
      </c>
      <c r="S188" s="31">
        <f>SUMIFS(LinkFromRateBase!$I:$I,LinkFromRateBase!$E:$E,S$5,LinkFromRateBase!$F:$F,$D188)</f>
        <v>0</v>
      </c>
      <c r="T188" s="31">
        <f>SUMIFS(LinkFromRateBase!$I:$I,LinkFromRateBase!$E:$E,T$5,LinkFromRateBase!$F:$F,$D188)</f>
        <v>0</v>
      </c>
      <c r="U188" s="31">
        <f>SUMIFS(LinkFromRateBase!$I:$I,LinkFromRateBase!$E:$E,U$5,LinkFromRateBase!$F:$F,$D188)</f>
        <v>0</v>
      </c>
      <c r="V188" s="31"/>
      <c r="W188"/>
    </row>
    <row r="189" spans="2:23" x14ac:dyDescent="0.25">
      <c r="B189" s="14"/>
      <c r="F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/>
    </row>
    <row r="190" spans="2:23" x14ac:dyDescent="0.25">
      <c r="B190" s="14"/>
      <c r="C190" s="1" t="s">
        <v>8128</v>
      </c>
      <c r="F190" s="31"/>
      <c r="H190" s="31">
        <f>SUMIFS(LinkFromRateBase!$I:$I,LinkFromRateBase!$E:$E,H$5,LinkFromRateBase!$F:$F,$D190)</f>
        <v>0</v>
      </c>
      <c r="I190" s="31">
        <f>SUMIFS(LinkFromRateBase!$I:$I,LinkFromRateBase!$E:$E,I$5,LinkFromRateBase!$F:$F,$D190)</f>
        <v>0</v>
      </c>
      <c r="J190" s="31">
        <f>SUMIFS(LinkFromRateBase!$I:$I,LinkFromRateBase!$E:$E,J$5,LinkFromRateBase!$F:$F,$D190)</f>
        <v>0</v>
      </c>
      <c r="K190" s="31">
        <f>SUMIFS(LinkFromRateBase!$I:$I,LinkFromRateBase!$E:$E,K$5,LinkFromRateBase!$F:$F,$D190)</f>
        <v>0</v>
      </c>
      <c r="L190" s="31">
        <f>SUMIFS(LinkFromRateBase!$I:$I,LinkFromRateBase!$E:$E,L$5,LinkFromRateBase!$F:$F,$D190)</f>
        <v>0</v>
      </c>
      <c r="M190" s="31">
        <f>SUMIFS(LinkFromRateBase!$I:$I,LinkFromRateBase!$E:$E,M$5,LinkFromRateBase!$F:$F,$D190)</f>
        <v>0</v>
      </c>
      <c r="N190" s="31">
        <f>SUMIFS(LinkFromRateBase!$I:$I,LinkFromRateBase!$E:$E,N$5,LinkFromRateBase!$F:$F,$D190)</f>
        <v>0</v>
      </c>
      <c r="O190" s="31">
        <f>SUMIFS(LinkFromRateBase!$I:$I,LinkFromRateBase!$E:$E,O$5,LinkFromRateBase!$F:$F,$D190)</f>
        <v>0</v>
      </c>
      <c r="P190" s="31">
        <f>SUMIFS(LinkFromRateBase!$I:$I,LinkFromRateBase!$E:$E,P$5,LinkFromRateBase!$F:$F,$D190)</f>
        <v>0</v>
      </c>
      <c r="Q190" s="31">
        <f>SUMIFS(LinkFromRateBase!$I:$I,LinkFromRateBase!$E:$E,Q$5,LinkFromRateBase!$F:$F,$D190)</f>
        <v>0</v>
      </c>
      <c r="R190" s="31">
        <f>SUMIFS(LinkFromRateBase!$I:$I,LinkFromRateBase!$E:$E,R$5,LinkFromRateBase!$F:$F,$D190)</f>
        <v>0</v>
      </c>
      <c r="S190" s="31">
        <f>SUMIFS(LinkFromRateBase!$I:$I,LinkFromRateBase!$E:$E,S$5,LinkFromRateBase!$F:$F,$D190)</f>
        <v>0</v>
      </c>
      <c r="T190" s="31">
        <f>SUMIFS(LinkFromRateBase!$I:$I,LinkFromRateBase!$E:$E,T$5,LinkFromRateBase!$F:$F,$D190)</f>
        <v>0</v>
      </c>
      <c r="U190" s="31">
        <f>SUMIFS(LinkFromRateBase!$I:$I,LinkFromRateBase!$E:$E,U$5,LinkFromRateBase!$F:$F,$D190)</f>
        <v>0</v>
      </c>
      <c r="V190" s="31"/>
      <c r="W190"/>
    </row>
    <row r="191" spans="2:23" x14ac:dyDescent="0.25">
      <c r="B191" s="226" t="s">
        <v>7195</v>
      </c>
      <c r="D191" s="15" t="s">
        <v>8013</v>
      </c>
      <c r="F191" s="31">
        <f t="shared" ref="F191:F197" si="23">SUM(H191:U191)</f>
        <v>0</v>
      </c>
      <c r="H191" s="31">
        <f>SUMIFS(LinkFromRateBase!$I:$I,LinkFromRateBase!$E:$E,H$5,LinkFromRateBase!$F:$F,$D191)</f>
        <v>0</v>
      </c>
      <c r="I191" s="31">
        <f>SUMIFS(LinkFromRateBase!$I:$I,LinkFromRateBase!$E:$E,I$5,LinkFromRateBase!$F:$F,$D191)</f>
        <v>0</v>
      </c>
      <c r="J191" s="31">
        <f>SUMIFS(LinkFromRateBase!$I:$I,LinkFromRateBase!$E:$E,J$5,LinkFromRateBase!$F:$F,$D191)</f>
        <v>0</v>
      </c>
      <c r="K191" s="31">
        <f>SUMIFS(LinkFromRateBase!$I:$I,LinkFromRateBase!$E:$E,K$5,LinkFromRateBase!$F:$F,$D191)</f>
        <v>0</v>
      </c>
      <c r="L191" s="31">
        <f>SUMIFS(LinkFromRateBase!$I:$I,LinkFromRateBase!$E:$E,L$5,LinkFromRateBase!$F:$F,$D191)</f>
        <v>0</v>
      </c>
      <c r="M191" s="31">
        <f>SUMIFS(LinkFromRateBase!$I:$I,LinkFromRateBase!$E:$E,M$5,LinkFromRateBase!$F:$F,$D191)</f>
        <v>0</v>
      </c>
      <c r="N191" s="31">
        <f>SUMIFS(LinkFromRateBase!$I:$I,LinkFromRateBase!$E:$E,N$5,LinkFromRateBase!$F:$F,$D191)</f>
        <v>0</v>
      </c>
      <c r="O191" s="31">
        <f>SUMIFS(LinkFromRateBase!$I:$I,LinkFromRateBase!$E:$E,O$5,LinkFromRateBase!$F:$F,$D191)</f>
        <v>0</v>
      </c>
      <c r="P191" s="31">
        <f>SUMIFS(LinkFromRateBase!$I:$I,LinkFromRateBase!$E:$E,P$5,LinkFromRateBase!$F:$F,$D191)</f>
        <v>0</v>
      </c>
      <c r="Q191" s="31">
        <f>SUMIFS(LinkFromRateBase!$I:$I,LinkFromRateBase!$E:$E,Q$5,LinkFromRateBase!$F:$F,$D191)</f>
        <v>0</v>
      </c>
      <c r="R191" s="31">
        <f>SUMIFS(LinkFromRateBase!$I:$I,LinkFromRateBase!$E:$E,R$5,LinkFromRateBase!$F:$F,$D191)</f>
        <v>0</v>
      </c>
      <c r="S191" s="31">
        <f>SUMIFS(LinkFromRateBase!$I:$I,LinkFromRateBase!$E:$E,S$5,LinkFromRateBase!$F:$F,$D191)</f>
        <v>0</v>
      </c>
      <c r="T191" s="31">
        <f>SUMIFS(LinkFromRateBase!$I:$I,LinkFromRateBase!$E:$E,T$5,LinkFromRateBase!$F:$F,$D191)</f>
        <v>0</v>
      </c>
      <c r="U191" s="31">
        <f>SUMIFS(LinkFromRateBase!$I:$I,LinkFromRateBase!$E:$E,U$5,LinkFromRateBase!$F:$F,$D191)</f>
        <v>0</v>
      </c>
      <c r="V191" s="31"/>
      <c r="W191"/>
    </row>
    <row r="192" spans="2:23" x14ac:dyDescent="0.25">
      <c r="B192" s="225" t="s">
        <v>7204</v>
      </c>
      <c r="D192" s="2" t="s">
        <v>8015</v>
      </c>
      <c r="F192" s="31">
        <f t="shared" si="23"/>
        <v>7319</v>
      </c>
      <c r="H192" s="31">
        <f>SUMIFS(LinkFromRateBase!$I:$I,LinkFromRateBase!$E:$E,H$5,LinkFromRateBase!$F:$F,$D192)</f>
        <v>0</v>
      </c>
      <c r="I192" s="31">
        <f>SUMIFS(LinkFromRateBase!$I:$I,LinkFromRateBase!$E:$E,I$5,LinkFromRateBase!$F:$F,$D192)</f>
        <v>0</v>
      </c>
      <c r="J192" s="31">
        <f>SUMIFS(LinkFromRateBase!$I:$I,LinkFromRateBase!$E:$E,J$5,LinkFromRateBase!$F:$F,$D192)</f>
        <v>0</v>
      </c>
      <c r="K192" s="31">
        <f>SUMIFS(LinkFromRateBase!$I:$I,LinkFromRateBase!$E:$E,K$5,LinkFromRateBase!$F:$F,$D192)</f>
        <v>0</v>
      </c>
      <c r="L192" s="31">
        <f>SUMIFS(LinkFromRateBase!$I:$I,LinkFromRateBase!$E:$E,L$5,LinkFromRateBase!$F:$F,$D192)</f>
        <v>0</v>
      </c>
      <c r="M192" s="31">
        <f>SUMIFS(LinkFromRateBase!$I:$I,LinkFromRateBase!$E:$E,M$5,LinkFromRateBase!$F:$F,$D192)</f>
        <v>7319</v>
      </c>
      <c r="N192" s="31">
        <f>SUMIFS(LinkFromRateBase!$I:$I,LinkFromRateBase!$E:$E,N$5,LinkFromRateBase!$F:$F,$D192)</f>
        <v>0</v>
      </c>
      <c r="O192" s="31">
        <f>SUMIFS(LinkFromRateBase!$I:$I,LinkFromRateBase!$E:$E,O$5,LinkFromRateBase!$F:$F,$D192)</f>
        <v>0</v>
      </c>
      <c r="P192" s="31">
        <f>SUMIFS(LinkFromRateBase!$I:$I,LinkFromRateBase!$E:$E,P$5,LinkFromRateBase!$F:$F,$D192)</f>
        <v>0</v>
      </c>
      <c r="Q192" s="31">
        <f>SUMIFS(LinkFromRateBase!$I:$I,LinkFromRateBase!$E:$E,Q$5,LinkFromRateBase!$F:$F,$D192)</f>
        <v>0</v>
      </c>
      <c r="R192" s="31">
        <f>SUMIFS(LinkFromRateBase!$I:$I,LinkFromRateBase!$E:$E,R$5,LinkFromRateBase!$F:$F,$D192)</f>
        <v>0</v>
      </c>
      <c r="S192" s="31">
        <f>SUMIFS(LinkFromRateBase!$I:$I,LinkFromRateBase!$E:$E,S$5,LinkFromRateBase!$F:$F,$D192)</f>
        <v>0</v>
      </c>
      <c r="T192" s="31">
        <f>SUMIFS(LinkFromRateBase!$I:$I,LinkFromRateBase!$E:$E,T$5,LinkFromRateBase!$F:$F,$D192)</f>
        <v>0</v>
      </c>
      <c r="U192" s="31">
        <f>SUMIFS(LinkFromRateBase!$I:$I,LinkFromRateBase!$E:$E,U$5,LinkFromRateBase!$F:$F,$D192)</f>
        <v>0</v>
      </c>
      <c r="V192" s="31"/>
      <c r="W192"/>
    </row>
    <row r="193" spans="2:23" x14ac:dyDescent="0.25">
      <c r="B193" s="225" t="s">
        <v>7234</v>
      </c>
      <c r="D193" s="2" t="s">
        <v>8025</v>
      </c>
      <c r="F193" s="31">
        <f t="shared" si="23"/>
        <v>41038</v>
      </c>
      <c r="H193" s="31">
        <f>SUMIFS(LinkFromRateBase!$I:$I,LinkFromRateBase!$E:$E,H$5,LinkFromRateBase!$F:$F,$D193)</f>
        <v>0</v>
      </c>
      <c r="I193" s="31">
        <f>SUMIFS(LinkFromRateBase!$I:$I,LinkFromRateBase!$E:$E,I$5,LinkFromRateBase!$F:$F,$D193)</f>
        <v>0</v>
      </c>
      <c r="J193" s="31">
        <f>SUMIFS(LinkFromRateBase!$I:$I,LinkFromRateBase!$E:$E,J$5,LinkFromRateBase!$F:$F,$D193)</f>
        <v>0</v>
      </c>
      <c r="K193" s="31">
        <f>SUMIFS(LinkFromRateBase!$I:$I,LinkFromRateBase!$E:$E,K$5,LinkFromRateBase!$F:$F,$D193)</f>
        <v>0</v>
      </c>
      <c r="L193" s="31">
        <f>SUMIFS(LinkFromRateBase!$I:$I,LinkFromRateBase!$E:$E,L$5,LinkFromRateBase!$F:$F,$D193)</f>
        <v>0</v>
      </c>
      <c r="M193" s="31">
        <f>SUMIFS(LinkFromRateBase!$I:$I,LinkFromRateBase!$E:$E,M$5,LinkFromRateBase!$F:$F,$D193)</f>
        <v>0</v>
      </c>
      <c r="N193" s="31">
        <f>SUMIFS(LinkFromRateBase!$I:$I,LinkFromRateBase!$E:$E,N$5,LinkFromRateBase!$F:$F,$D193)</f>
        <v>0</v>
      </c>
      <c r="O193" s="31">
        <f>SUMIFS(LinkFromRateBase!$I:$I,LinkFromRateBase!$E:$E,O$5,LinkFromRateBase!$F:$F,$D193)</f>
        <v>41038</v>
      </c>
      <c r="P193" s="31">
        <f>SUMIFS(LinkFromRateBase!$I:$I,LinkFromRateBase!$E:$E,P$5,LinkFromRateBase!$F:$F,$D193)</f>
        <v>0</v>
      </c>
      <c r="Q193" s="31">
        <f>SUMIFS(LinkFromRateBase!$I:$I,LinkFromRateBase!$E:$E,Q$5,LinkFromRateBase!$F:$F,$D193)</f>
        <v>0</v>
      </c>
      <c r="R193" s="31">
        <f>SUMIFS(LinkFromRateBase!$I:$I,LinkFromRateBase!$E:$E,R$5,LinkFromRateBase!$F:$F,$D193)</f>
        <v>0</v>
      </c>
      <c r="S193" s="31">
        <f>SUMIFS(LinkFromRateBase!$I:$I,LinkFromRateBase!$E:$E,S$5,LinkFromRateBase!$F:$F,$D193)</f>
        <v>0</v>
      </c>
      <c r="T193" s="31">
        <f>SUMIFS(LinkFromRateBase!$I:$I,LinkFromRateBase!$E:$E,T$5,LinkFromRateBase!$F:$F,$D193)</f>
        <v>0</v>
      </c>
      <c r="U193" s="31">
        <f>SUMIFS(LinkFromRateBase!$I:$I,LinkFromRateBase!$E:$E,U$5,LinkFromRateBase!$F:$F,$D193)</f>
        <v>0</v>
      </c>
      <c r="V193" s="31"/>
      <c r="W193"/>
    </row>
    <row r="194" spans="2:23" x14ac:dyDescent="0.25">
      <c r="B194" s="225" t="s">
        <v>7234</v>
      </c>
      <c r="D194" s="2" t="s">
        <v>8027</v>
      </c>
      <c r="F194" s="31">
        <f t="shared" si="23"/>
        <v>1005574</v>
      </c>
      <c r="H194" s="31">
        <f>SUMIFS(LinkFromRateBase!$I:$I,LinkFromRateBase!$E:$E,H$5,LinkFromRateBase!$F:$F,$D194)</f>
        <v>0</v>
      </c>
      <c r="I194" s="31">
        <f>SUMIFS(LinkFromRateBase!$I:$I,LinkFromRateBase!$E:$E,I$5,LinkFromRateBase!$F:$F,$D194)</f>
        <v>0</v>
      </c>
      <c r="J194" s="31">
        <f>SUMIFS(LinkFromRateBase!$I:$I,LinkFromRateBase!$E:$E,J$5,LinkFromRateBase!$F:$F,$D194)</f>
        <v>0</v>
      </c>
      <c r="K194" s="31">
        <f>SUMIFS(LinkFromRateBase!$I:$I,LinkFromRateBase!$E:$E,K$5,LinkFromRateBase!$F:$F,$D194)</f>
        <v>0</v>
      </c>
      <c r="L194" s="31">
        <f>SUMIFS(LinkFromRateBase!$I:$I,LinkFromRateBase!$E:$E,L$5,LinkFromRateBase!$F:$F,$D194)</f>
        <v>0</v>
      </c>
      <c r="M194" s="31">
        <f>SUMIFS(LinkFromRateBase!$I:$I,LinkFromRateBase!$E:$E,M$5,LinkFromRateBase!$F:$F,$D194)</f>
        <v>0</v>
      </c>
      <c r="N194" s="31">
        <f>SUMIFS(LinkFromRateBase!$I:$I,LinkFromRateBase!$E:$E,N$5,LinkFromRateBase!$F:$F,$D194)</f>
        <v>0</v>
      </c>
      <c r="O194" s="31">
        <f>SUMIFS(LinkFromRateBase!$I:$I,LinkFromRateBase!$E:$E,O$5,LinkFromRateBase!$F:$F,$D194)</f>
        <v>1005574</v>
      </c>
      <c r="P194" s="31">
        <f>SUMIFS(LinkFromRateBase!$I:$I,LinkFromRateBase!$E:$E,P$5,LinkFromRateBase!$F:$F,$D194)</f>
        <v>0</v>
      </c>
      <c r="Q194" s="31">
        <f>SUMIFS(LinkFromRateBase!$I:$I,LinkFromRateBase!$E:$E,Q$5,LinkFromRateBase!$F:$F,$D194)</f>
        <v>0</v>
      </c>
      <c r="R194" s="31">
        <f>SUMIFS(LinkFromRateBase!$I:$I,LinkFromRateBase!$E:$E,R$5,LinkFromRateBase!$F:$F,$D194)</f>
        <v>0</v>
      </c>
      <c r="S194" s="31">
        <f>SUMIFS(LinkFromRateBase!$I:$I,LinkFromRateBase!$E:$E,S$5,LinkFromRateBase!$F:$F,$D194)</f>
        <v>0</v>
      </c>
      <c r="T194" s="31">
        <f>SUMIFS(LinkFromRateBase!$I:$I,LinkFromRateBase!$E:$E,T$5,LinkFromRateBase!$F:$F,$D194)</f>
        <v>0</v>
      </c>
      <c r="U194" s="31">
        <f>SUMIFS(LinkFromRateBase!$I:$I,LinkFromRateBase!$E:$E,U$5,LinkFromRateBase!$F:$F,$D194)</f>
        <v>0</v>
      </c>
      <c r="V194" s="31"/>
      <c r="W194"/>
    </row>
    <row r="195" spans="2:23" x14ac:dyDescent="0.25">
      <c r="B195" s="225" t="s">
        <v>7234</v>
      </c>
      <c r="D195" s="2" t="s">
        <v>8029</v>
      </c>
      <c r="F195" s="31">
        <f t="shared" si="23"/>
        <v>624138</v>
      </c>
      <c r="H195" s="31">
        <f>SUMIFS(LinkFromRateBase!$I:$I,LinkFromRateBase!$E:$E,H$5,LinkFromRateBase!$F:$F,$D195)</f>
        <v>0</v>
      </c>
      <c r="I195" s="31">
        <f>SUMIFS(LinkFromRateBase!$I:$I,LinkFromRateBase!$E:$E,I$5,LinkFromRateBase!$F:$F,$D195)</f>
        <v>0</v>
      </c>
      <c r="J195" s="31">
        <f>SUMIFS(LinkFromRateBase!$I:$I,LinkFromRateBase!$E:$E,J$5,LinkFromRateBase!$F:$F,$D195)</f>
        <v>0</v>
      </c>
      <c r="K195" s="31">
        <f>SUMIFS(LinkFromRateBase!$I:$I,LinkFromRateBase!$E:$E,K$5,LinkFromRateBase!$F:$F,$D195)</f>
        <v>0</v>
      </c>
      <c r="L195" s="31">
        <f>SUMIFS(LinkFromRateBase!$I:$I,LinkFromRateBase!$E:$E,L$5,LinkFromRateBase!$F:$F,$D195)</f>
        <v>0</v>
      </c>
      <c r="M195" s="31">
        <f>SUMIFS(LinkFromRateBase!$I:$I,LinkFromRateBase!$E:$E,M$5,LinkFromRateBase!$F:$F,$D195)</f>
        <v>0</v>
      </c>
      <c r="N195" s="31">
        <f>SUMIFS(LinkFromRateBase!$I:$I,LinkFromRateBase!$E:$E,N$5,LinkFromRateBase!$F:$F,$D195)</f>
        <v>624138</v>
      </c>
      <c r="O195" s="31">
        <f>SUMIFS(LinkFromRateBase!$I:$I,LinkFromRateBase!$E:$E,O$5,LinkFromRateBase!$F:$F,$D195)</f>
        <v>0</v>
      </c>
      <c r="P195" s="31">
        <f>SUMIFS(LinkFromRateBase!$I:$I,LinkFromRateBase!$E:$E,P$5,LinkFromRateBase!$F:$F,$D195)</f>
        <v>0</v>
      </c>
      <c r="Q195" s="31">
        <f>SUMIFS(LinkFromRateBase!$I:$I,LinkFromRateBase!$E:$E,Q$5,LinkFromRateBase!$F:$F,$D195)</f>
        <v>0</v>
      </c>
      <c r="R195" s="31">
        <f>SUMIFS(LinkFromRateBase!$I:$I,LinkFromRateBase!$E:$E,R$5,LinkFromRateBase!$F:$F,$D195)</f>
        <v>0</v>
      </c>
      <c r="S195" s="31">
        <f>SUMIFS(LinkFromRateBase!$I:$I,LinkFromRateBase!$E:$E,S$5,LinkFromRateBase!$F:$F,$D195)</f>
        <v>0</v>
      </c>
      <c r="T195" s="31">
        <f>SUMIFS(LinkFromRateBase!$I:$I,LinkFromRateBase!$E:$E,T$5,LinkFromRateBase!$F:$F,$D195)</f>
        <v>0</v>
      </c>
      <c r="U195" s="31">
        <f>SUMIFS(LinkFromRateBase!$I:$I,LinkFromRateBase!$E:$E,U$5,LinkFromRateBase!$F:$F,$D195)</f>
        <v>0</v>
      </c>
      <c r="V195" s="31"/>
      <c r="W195"/>
    </row>
    <row r="196" spans="2:23" x14ac:dyDescent="0.25">
      <c r="B196" s="225" t="s">
        <v>7234</v>
      </c>
      <c r="D196" s="2" t="s">
        <v>8031</v>
      </c>
      <c r="F196" s="31">
        <f t="shared" si="23"/>
        <v>10088</v>
      </c>
      <c r="H196" s="31">
        <f>SUMIFS(LinkFromRateBase!$I:$I,LinkFromRateBase!$E:$E,H$5,LinkFromRateBase!$F:$F,$D196)</f>
        <v>0</v>
      </c>
      <c r="I196" s="31">
        <f>SUMIFS(LinkFromRateBase!$I:$I,LinkFromRateBase!$E:$E,I$5,LinkFromRateBase!$F:$F,$D196)</f>
        <v>0</v>
      </c>
      <c r="J196" s="31">
        <f>SUMIFS(LinkFromRateBase!$I:$I,LinkFromRateBase!$E:$E,J$5,LinkFromRateBase!$F:$F,$D196)</f>
        <v>0</v>
      </c>
      <c r="K196" s="31">
        <f>SUMIFS(LinkFromRateBase!$I:$I,LinkFromRateBase!$E:$E,K$5,LinkFromRateBase!$F:$F,$D196)</f>
        <v>0</v>
      </c>
      <c r="L196" s="31">
        <f>SUMIFS(LinkFromRateBase!$I:$I,LinkFromRateBase!$E:$E,L$5,LinkFromRateBase!$F:$F,$D196)</f>
        <v>0</v>
      </c>
      <c r="M196" s="31">
        <f>SUMIFS(LinkFromRateBase!$I:$I,LinkFromRateBase!$E:$E,M$5,LinkFromRateBase!$F:$F,$D196)</f>
        <v>0</v>
      </c>
      <c r="N196" s="31">
        <f>SUMIFS(LinkFromRateBase!$I:$I,LinkFromRateBase!$E:$E,N$5,LinkFromRateBase!$F:$F,$D196)</f>
        <v>10088</v>
      </c>
      <c r="O196" s="31">
        <f>SUMIFS(LinkFromRateBase!$I:$I,LinkFromRateBase!$E:$E,O$5,LinkFromRateBase!$F:$F,$D196)</f>
        <v>0</v>
      </c>
      <c r="P196" s="31">
        <f>SUMIFS(LinkFromRateBase!$I:$I,LinkFromRateBase!$E:$E,P$5,LinkFromRateBase!$F:$F,$D196)</f>
        <v>0</v>
      </c>
      <c r="Q196" s="31">
        <f>SUMIFS(LinkFromRateBase!$I:$I,LinkFromRateBase!$E:$E,Q$5,LinkFromRateBase!$F:$F,$D196)</f>
        <v>0</v>
      </c>
      <c r="R196" s="31">
        <f>SUMIFS(LinkFromRateBase!$I:$I,LinkFromRateBase!$E:$E,R$5,LinkFromRateBase!$F:$F,$D196)</f>
        <v>0</v>
      </c>
      <c r="S196" s="31">
        <f>SUMIFS(LinkFromRateBase!$I:$I,LinkFromRateBase!$E:$E,S$5,LinkFromRateBase!$F:$F,$D196)</f>
        <v>0</v>
      </c>
      <c r="T196" s="31">
        <f>SUMIFS(LinkFromRateBase!$I:$I,LinkFromRateBase!$E:$E,T$5,LinkFromRateBase!$F:$F,$D196)</f>
        <v>0</v>
      </c>
      <c r="U196" s="31">
        <f>SUMIFS(LinkFromRateBase!$I:$I,LinkFromRateBase!$E:$E,U$5,LinkFromRateBase!$F:$F,$D196)</f>
        <v>0</v>
      </c>
      <c r="V196" s="31"/>
      <c r="W196"/>
    </row>
    <row r="197" spans="2:23" x14ac:dyDescent="0.25">
      <c r="B197" s="225" t="s">
        <v>7246</v>
      </c>
      <c r="D197" s="57" t="s">
        <v>8047</v>
      </c>
      <c r="F197" s="31">
        <f t="shared" si="23"/>
        <v>7878</v>
      </c>
      <c r="H197" s="31">
        <f>SUMIFS(LinkFromRateBase!$I:$I,LinkFromRateBase!$E:$E,H$5,LinkFromRateBase!$F:$F,$D197)</f>
        <v>0</v>
      </c>
      <c r="I197" s="31">
        <f>SUMIFS(LinkFromRateBase!$I:$I,LinkFromRateBase!$E:$E,I$5,LinkFromRateBase!$F:$F,$D197)</f>
        <v>0</v>
      </c>
      <c r="J197" s="31">
        <f>SUMIFS(LinkFromRateBase!$I:$I,LinkFromRateBase!$E:$E,J$5,LinkFromRateBase!$F:$F,$D197)</f>
        <v>0</v>
      </c>
      <c r="K197" s="31">
        <f>SUMIFS(LinkFromRateBase!$I:$I,LinkFromRateBase!$E:$E,K$5,LinkFromRateBase!$F:$F,$D197)</f>
        <v>0</v>
      </c>
      <c r="L197" s="31">
        <f>SUMIFS(LinkFromRateBase!$I:$I,LinkFromRateBase!$E:$E,L$5,LinkFromRateBase!$F:$F,$D197)</f>
        <v>0</v>
      </c>
      <c r="M197" s="31">
        <f>SUMIFS(LinkFromRateBase!$I:$I,LinkFromRateBase!$E:$E,M$5,LinkFromRateBase!$F:$F,$D197)</f>
        <v>7878</v>
      </c>
      <c r="N197" s="31">
        <f>SUMIFS(LinkFromRateBase!$I:$I,LinkFromRateBase!$E:$E,N$5,LinkFromRateBase!$F:$F,$D197)</f>
        <v>0</v>
      </c>
      <c r="O197" s="31">
        <f>SUMIFS(LinkFromRateBase!$I:$I,LinkFromRateBase!$E:$E,O$5,LinkFromRateBase!$F:$F,$D197)</f>
        <v>0</v>
      </c>
      <c r="P197" s="31">
        <f>SUMIFS(LinkFromRateBase!$I:$I,LinkFromRateBase!$E:$E,P$5,LinkFromRateBase!$F:$F,$D197)</f>
        <v>0</v>
      </c>
      <c r="Q197" s="31">
        <f>SUMIFS(LinkFromRateBase!$I:$I,LinkFromRateBase!$E:$E,Q$5,LinkFromRateBase!$F:$F,$D197)</f>
        <v>0</v>
      </c>
      <c r="R197" s="31">
        <f>SUMIFS(LinkFromRateBase!$I:$I,LinkFromRateBase!$E:$E,R$5,LinkFromRateBase!$F:$F,$D197)</f>
        <v>0</v>
      </c>
      <c r="S197" s="31">
        <f>SUMIFS(LinkFromRateBase!$I:$I,LinkFromRateBase!$E:$E,S$5,LinkFromRateBase!$F:$F,$D197)</f>
        <v>0</v>
      </c>
      <c r="T197" s="31">
        <f>SUMIFS(LinkFromRateBase!$I:$I,LinkFromRateBase!$E:$E,T$5,LinkFromRateBase!$F:$F,$D197)</f>
        <v>0</v>
      </c>
      <c r="U197" s="31">
        <f>SUMIFS(LinkFromRateBase!$I:$I,LinkFromRateBase!$E:$E,U$5,LinkFromRateBase!$F:$F,$D197)</f>
        <v>0</v>
      </c>
      <c r="V197" s="31"/>
      <c r="W197"/>
    </row>
    <row r="198" spans="2:23" x14ac:dyDescent="0.25">
      <c r="B198" s="14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/>
    </row>
    <row r="199" spans="2:23" x14ac:dyDescent="0.25">
      <c r="B199" s="14"/>
      <c r="C199" s="1" t="s">
        <v>6960</v>
      </c>
      <c r="F199" s="31"/>
      <c r="H199" s="31">
        <f>SUMIFS(LinkFromRateBase!$I:$I,LinkFromRateBase!$E:$E,H$5,LinkFromRateBase!$F:$F,$D199)</f>
        <v>0</v>
      </c>
      <c r="I199" s="31">
        <f>SUMIFS(LinkFromRateBase!$I:$I,LinkFromRateBase!$E:$E,I$5,LinkFromRateBase!$F:$F,$D199)</f>
        <v>0</v>
      </c>
      <c r="J199" s="31">
        <f>SUMIFS(LinkFromRateBase!$I:$I,LinkFromRateBase!$E:$E,J$5,LinkFromRateBase!$F:$F,$D199)</f>
        <v>0</v>
      </c>
      <c r="K199" s="31">
        <f>SUMIFS(LinkFromRateBase!$I:$I,LinkFromRateBase!$E:$E,K$5,LinkFromRateBase!$F:$F,$D199)</f>
        <v>0</v>
      </c>
      <c r="L199" s="31">
        <f>SUMIFS(LinkFromRateBase!$I:$I,LinkFromRateBase!$E:$E,L$5,LinkFromRateBase!$F:$F,$D199)</f>
        <v>0</v>
      </c>
      <c r="M199" s="31">
        <f>SUMIFS(LinkFromRateBase!$I:$I,LinkFromRateBase!$E:$E,M$5,LinkFromRateBase!$F:$F,$D199)</f>
        <v>0</v>
      </c>
      <c r="N199" s="31">
        <f>SUMIFS(LinkFromRateBase!$I:$I,LinkFromRateBase!$E:$E,N$5,LinkFromRateBase!$F:$F,$D199)</f>
        <v>0</v>
      </c>
      <c r="O199" s="31">
        <f>SUMIFS(LinkFromRateBase!$I:$I,LinkFromRateBase!$E:$E,O$5,LinkFromRateBase!$F:$F,$D199)</f>
        <v>0</v>
      </c>
      <c r="P199" s="31">
        <f>SUMIFS(LinkFromRateBase!$I:$I,LinkFromRateBase!$E:$E,P$5,LinkFromRateBase!$F:$F,$D199)</f>
        <v>0</v>
      </c>
      <c r="Q199" s="31">
        <f>SUMIFS(LinkFromRateBase!$I:$I,LinkFromRateBase!$E:$E,Q$5,LinkFromRateBase!$F:$F,$D199)</f>
        <v>0</v>
      </c>
      <c r="R199" s="31">
        <f>SUMIFS(LinkFromRateBase!$I:$I,LinkFromRateBase!$E:$E,R$5,LinkFromRateBase!$F:$F,$D199)</f>
        <v>0</v>
      </c>
      <c r="S199" s="31">
        <f>SUMIFS(LinkFromRateBase!$I:$I,LinkFromRateBase!$E:$E,S$5,LinkFromRateBase!$F:$F,$D199)</f>
        <v>0</v>
      </c>
      <c r="T199" s="31">
        <f>SUMIFS(LinkFromRateBase!$I:$I,LinkFromRateBase!$E:$E,T$5,LinkFromRateBase!$F:$F,$D199)</f>
        <v>0</v>
      </c>
      <c r="U199" s="31">
        <f>SUMIFS(LinkFromRateBase!$I:$I,LinkFromRateBase!$E:$E,U$5,LinkFromRateBase!$F:$F,$D199)</f>
        <v>0</v>
      </c>
      <c r="V199" s="31"/>
      <c r="W199"/>
    </row>
    <row r="200" spans="2:23" x14ac:dyDescent="0.25">
      <c r="B200" s="225" t="s">
        <v>7232</v>
      </c>
      <c r="D200" s="2" t="s">
        <v>8017</v>
      </c>
      <c r="F200" s="31">
        <f t="shared" ref="F200:F203" si="24">SUM(H200:U200)</f>
        <v>112581</v>
      </c>
      <c r="H200" s="31">
        <f>SUMIFS(LinkFromRateBase!$I:$I,LinkFromRateBase!$E:$E,H$5,LinkFromRateBase!$F:$F,$D200)</f>
        <v>0</v>
      </c>
      <c r="I200" s="31">
        <f>SUMIFS(LinkFromRateBase!$I:$I,LinkFromRateBase!$E:$E,I$5,LinkFromRateBase!$F:$F,$D200)</f>
        <v>0</v>
      </c>
      <c r="J200" s="31">
        <f>SUMIFS(LinkFromRateBase!$I:$I,LinkFromRateBase!$E:$E,J$5,LinkFromRateBase!$F:$F,$D200)</f>
        <v>0</v>
      </c>
      <c r="K200" s="31">
        <f>SUMIFS(LinkFromRateBase!$I:$I,LinkFromRateBase!$E:$E,K$5,LinkFromRateBase!$F:$F,$D200)</f>
        <v>0</v>
      </c>
      <c r="L200" s="31">
        <f>SUMIFS(LinkFromRateBase!$I:$I,LinkFromRateBase!$E:$E,L$5,LinkFromRateBase!$F:$F,$D200)</f>
        <v>0</v>
      </c>
      <c r="M200" s="31">
        <f>SUMIFS(LinkFromRateBase!$I:$I,LinkFromRateBase!$E:$E,M$5,LinkFromRateBase!$F:$F,$D200)</f>
        <v>0</v>
      </c>
      <c r="N200" s="31">
        <f>SUMIFS(LinkFromRateBase!$I:$I,LinkFromRateBase!$E:$E,N$5,LinkFromRateBase!$F:$F,$D200)</f>
        <v>0</v>
      </c>
      <c r="O200" s="31">
        <f>SUMIFS(LinkFromRateBase!$I:$I,LinkFromRateBase!$E:$E,O$5,LinkFromRateBase!$F:$F,$D200)</f>
        <v>0</v>
      </c>
      <c r="P200" s="31">
        <f>SUMIFS(LinkFromRateBase!$I:$I,LinkFromRateBase!$E:$E,P$5,LinkFromRateBase!$F:$F,$D200)</f>
        <v>112581</v>
      </c>
      <c r="Q200" s="31">
        <f>SUMIFS(LinkFromRateBase!$I:$I,LinkFromRateBase!$E:$E,Q$5,LinkFromRateBase!$F:$F,$D200)</f>
        <v>0</v>
      </c>
      <c r="R200" s="31">
        <f>SUMIFS(LinkFromRateBase!$I:$I,LinkFromRateBase!$E:$E,R$5,LinkFromRateBase!$F:$F,$D200)</f>
        <v>0</v>
      </c>
      <c r="S200" s="31">
        <f>SUMIFS(LinkFromRateBase!$I:$I,LinkFromRateBase!$E:$E,S$5,LinkFromRateBase!$F:$F,$D200)</f>
        <v>0</v>
      </c>
      <c r="T200" s="31">
        <f>SUMIFS(LinkFromRateBase!$I:$I,LinkFromRateBase!$E:$E,T$5,LinkFromRateBase!$F:$F,$D200)</f>
        <v>0</v>
      </c>
      <c r="U200" s="31">
        <f>SUMIFS(LinkFromRateBase!$I:$I,LinkFromRateBase!$E:$E,U$5,LinkFromRateBase!$F:$F,$D200)</f>
        <v>0</v>
      </c>
      <c r="V200" s="31"/>
      <c r="W200"/>
    </row>
    <row r="201" spans="2:23" x14ac:dyDescent="0.25">
      <c r="B201" s="225" t="s">
        <v>7232</v>
      </c>
      <c r="D201" s="2" t="s">
        <v>8019</v>
      </c>
      <c r="F201" s="31">
        <f t="shared" si="24"/>
        <v>44035</v>
      </c>
      <c r="H201" s="31">
        <f>SUMIFS(LinkFromRateBase!$I:$I,LinkFromRateBase!$E:$E,H$5,LinkFromRateBase!$F:$F,$D201)</f>
        <v>0</v>
      </c>
      <c r="I201" s="31">
        <f>SUMIFS(LinkFromRateBase!$I:$I,LinkFromRateBase!$E:$E,I$5,LinkFromRateBase!$F:$F,$D201)</f>
        <v>0</v>
      </c>
      <c r="J201" s="31">
        <f>SUMIFS(LinkFromRateBase!$I:$I,LinkFromRateBase!$E:$E,J$5,LinkFromRateBase!$F:$F,$D201)</f>
        <v>0</v>
      </c>
      <c r="K201" s="31">
        <f>SUMIFS(LinkFromRateBase!$I:$I,LinkFromRateBase!$E:$E,K$5,LinkFromRateBase!$F:$F,$D201)</f>
        <v>0</v>
      </c>
      <c r="L201" s="31">
        <f>SUMIFS(LinkFromRateBase!$I:$I,LinkFromRateBase!$E:$E,L$5,LinkFromRateBase!$F:$F,$D201)</f>
        <v>0</v>
      </c>
      <c r="M201" s="31">
        <f>SUMIFS(LinkFromRateBase!$I:$I,LinkFromRateBase!$E:$E,M$5,LinkFromRateBase!$F:$F,$D201)</f>
        <v>0</v>
      </c>
      <c r="N201" s="31">
        <f>SUMIFS(LinkFromRateBase!$I:$I,LinkFromRateBase!$E:$E,N$5,LinkFromRateBase!$F:$F,$D201)</f>
        <v>0</v>
      </c>
      <c r="O201" s="31">
        <f>SUMIFS(LinkFromRateBase!$I:$I,LinkFromRateBase!$E:$E,O$5,LinkFromRateBase!$F:$F,$D201)</f>
        <v>0</v>
      </c>
      <c r="P201" s="31">
        <f>SUMIFS(LinkFromRateBase!$I:$I,LinkFromRateBase!$E:$E,P$5,LinkFromRateBase!$F:$F,$D201)</f>
        <v>44035</v>
      </c>
      <c r="Q201" s="31">
        <f>SUMIFS(LinkFromRateBase!$I:$I,LinkFromRateBase!$E:$E,Q$5,LinkFromRateBase!$F:$F,$D201)</f>
        <v>0</v>
      </c>
      <c r="R201" s="31">
        <f>SUMIFS(LinkFromRateBase!$I:$I,LinkFromRateBase!$E:$E,R$5,LinkFromRateBase!$F:$F,$D201)</f>
        <v>0</v>
      </c>
      <c r="S201" s="31">
        <f>SUMIFS(LinkFromRateBase!$I:$I,LinkFromRateBase!$E:$E,S$5,LinkFromRateBase!$F:$F,$D201)</f>
        <v>0</v>
      </c>
      <c r="T201" s="31">
        <f>SUMIFS(LinkFromRateBase!$I:$I,LinkFromRateBase!$E:$E,T$5,LinkFromRateBase!$F:$F,$D201)</f>
        <v>0</v>
      </c>
      <c r="U201" s="31">
        <f>SUMIFS(LinkFromRateBase!$I:$I,LinkFromRateBase!$E:$E,U$5,LinkFromRateBase!$F:$F,$D201)</f>
        <v>0</v>
      </c>
      <c r="V201" s="31"/>
      <c r="W201"/>
    </row>
    <row r="202" spans="2:23" x14ac:dyDescent="0.25">
      <c r="B202" s="225" t="s">
        <v>7232</v>
      </c>
      <c r="D202" s="2" t="s">
        <v>8021</v>
      </c>
      <c r="F202" s="31">
        <f t="shared" si="24"/>
        <v>0</v>
      </c>
      <c r="H202" s="31">
        <f>SUMIFS(LinkFromRateBase!$I:$I,LinkFromRateBase!$E:$E,H$5,LinkFromRateBase!$F:$F,$D202)</f>
        <v>0</v>
      </c>
      <c r="I202" s="31">
        <f>SUMIFS(LinkFromRateBase!$I:$I,LinkFromRateBase!$E:$E,I$5,LinkFromRateBase!$F:$F,$D202)</f>
        <v>0</v>
      </c>
      <c r="J202" s="31">
        <f>SUMIFS(LinkFromRateBase!$I:$I,LinkFromRateBase!$E:$E,J$5,LinkFromRateBase!$F:$F,$D202)</f>
        <v>0</v>
      </c>
      <c r="K202" s="31">
        <f>SUMIFS(LinkFromRateBase!$I:$I,LinkFromRateBase!$E:$E,K$5,LinkFromRateBase!$F:$F,$D202)</f>
        <v>0</v>
      </c>
      <c r="L202" s="31">
        <f>SUMIFS(LinkFromRateBase!$I:$I,LinkFromRateBase!$E:$E,L$5,LinkFromRateBase!$F:$F,$D202)</f>
        <v>0</v>
      </c>
      <c r="M202" s="31">
        <f>SUMIFS(LinkFromRateBase!$I:$I,LinkFromRateBase!$E:$E,M$5,LinkFromRateBase!$F:$F,$D202)</f>
        <v>0</v>
      </c>
      <c r="N202" s="31">
        <f>SUMIFS(LinkFromRateBase!$I:$I,LinkFromRateBase!$E:$E,N$5,LinkFromRateBase!$F:$F,$D202)</f>
        <v>0</v>
      </c>
      <c r="O202" s="31">
        <f>SUMIFS(LinkFromRateBase!$I:$I,LinkFromRateBase!$E:$E,O$5,LinkFromRateBase!$F:$F,$D202)</f>
        <v>0</v>
      </c>
      <c r="P202" s="31">
        <f>SUMIFS(LinkFromRateBase!$I:$I,LinkFromRateBase!$E:$E,P$5,LinkFromRateBase!$F:$F,$D202)</f>
        <v>0</v>
      </c>
      <c r="Q202" s="31">
        <f>SUMIFS(LinkFromRateBase!$I:$I,LinkFromRateBase!$E:$E,Q$5,LinkFromRateBase!$F:$F,$D202)</f>
        <v>0</v>
      </c>
      <c r="R202" s="31">
        <f>SUMIFS(LinkFromRateBase!$I:$I,LinkFromRateBase!$E:$E,R$5,LinkFromRateBase!$F:$F,$D202)</f>
        <v>0</v>
      </c>
      <c r="S202" s="31">
        <f>SUMIFS(LinkFromRateBase!$I:$I,LinkFromRateBase!$E:$E,S$5,LinkFromRateBase!$F:$F,$D202)</f>
        <v>0</v>
      </c>
      <c r="T202" s="31">
        <f>SUMIFS(LinkFromRateBase!$I:$I,LinkFromRateBase!$E:$E,T$5,LinkFromRateBase!$F:$F,$D202)</f>
        <v>0</v>
      </c>
      <c r="U202" s="31">
        <f>SUMIFS(LinkFromRateBase!$I:$I,LinkFromRateBase!$E:$E,U$5,LinkFromRateBase!$F:$F,$D202)</f>
        <v>0</v>
      </c>
      <c r="V202" s="31"/>
      <c r="W202"/>
    </row>
    <row r="203" spans="2:23" x14ac:dyDescent="0.25">
      <c r="B203" s="225" t="s">
        <v>7232</v>
      </c>
      <c r="D203" s="2" t="s">
        <v>8023</v>
      </c>
      <c r="F203" s="31">
        <f t="shared" si="24"/>
        <v>9032</v>
      </c>
      <c r="H203" s="31">
        <f>SUMIFS(LinkFromRateBase!$I:$I,LinkFromRateBase!$E:$E,H$5,LinkFromRateBase!$F:$F,$D203)</f>
        <v>0</v>
      </c>
      <c r="I203" s="31">
        <f>SUMIFS(LinkFromRateBase!$I:$I,LinkFromRateBase!$E:$E,I$5,LinkFromRateBase!$F:$F,$D203)</f>
        <v>0</v>
      </c>
      <c r="J203" s="31">
        <f>SUMIFS(LinkFromRateBase!$I:$I,LinkFromRateBase!$E:$E,J$5,LinkFromRateBase!$F:$F,$D203)</f>
        <v>0</v>
      </c>
      <c r="K203" s="31">
        <f>SUMIFS(LinkFromRateBase!$I:$I,LinkFromRateBase!$E:$E,K$5,LinkFromRateBase!$F:$F,$D203)</f>
        <v>0</v>
      </c>
      <c r="L203" s="31">
        <f>SUMIFS(LinkFromRateBase!$I:$I,LinkFromRateBase!$E:$E,L$5,LinkFromRateBase!$F:$F,$D203)</f>
        <v>0</v>
      </c>
      <c r="M203" s="31">
        <f>SUMIFS(LinkFromRateBase!$I:$I,LinkFromRateBase!$E:$E,M$5,LinkFromRateBase!$F:$F,$D203)</f>
        <v>0</v>
      </c>
      <c r="N203" s="31">
        <f>SUMIFS(LinkFromRateBase!$I:$I,LinkFromRateBase!$E:$E,N$5,LinkFromRateBase!$F:$F,$D203)</f>
        <v>0</v>
      </c>
      <c r="O203" s="31">
        <f>SUMIFS(LinkFromRateBase!$I:$I,LinkFromRateBase!$E:$E,O$5,LinkFromRateBase!$F:$F,$D203)</f>
        <v>0</v>
      </c>
      <c r="P203" s="31">
        <f>SUMIFS(LinkFromRateBase!$I:$I,LinkFromRateBase!$E:$E,P$5,LinkFromRateBase!$F:$F,$D203)</f>
        <v>9032</v>
      </c>
      <c r="Q203" s="31">
        <f>SUMIFS(LinkFromRateBase!$I:$I,LinkFromRateBase!$E:$E,Q$5,LinkFromRateBase!$F:$F,$D203)</f>
        <v>0</v>
      </c>
      <c r="R203" s="31">
        <f>SUMIFS(LinkFromRateBase!$I:$I,LinkFromRateBase!$E:$E,R$5,LinkFromRateBase!$F:$F,$D203)</f>
        <v>0</v>
      </c>
      <c r="S203" s="31">
        <f>SUMIFS(LinkFromRateBase!$I:$I,LinkFromRateBase!$E:$E,S$5,LinkFromRateBase!$F:$F,$D203)</f>
        <v>0</v>
      </c>
      <c r="T203" s="31">
        <f>SUMIFS(LinkFromRateBase!$I:$I,LinkFromRateBase!$E:$E,T$5,LinkFromRateBase!$F:$F,$D203)</f>
        <v>0</v>
      </c>
      <c r="U203" s="31">
        <f>SUMIFS(LinkFromRateBase!$I:$I,LinkFromRateBase!$E:$E,U$5,LinkFromRateBase!$F:$F,$D203)</f>
        <v>0</v>
      </c>
      <c r="V203" s="31"/>
      <c r="W203"/>
    </row>
    <row r="204" spans="2:23" x14ac:dyDescent="0.25">
      <c r="B204" s="14"/>
      <c r="F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/>
    </row>
    <row r="205" spans="2:23" x14ac:dyDescent="0.25">
      <c r="B205" s="13"/>
      <c r="C205" s="1" t="s">
        <v>6961</v>
      </c>
      <c r="F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/>
    </row>
    <row r="206" spans="2:23" x14ac:dyDescent="0.25">
      <c r="B206" s="228" t="s">
        <v>7236</v>
      </c>
      <c r="C206" s="1"/>
      <c r="D206" s="2" t="s">
        <v>8035</v>
      </c>
      <c r="E206" s="57"/>
      <c r="F206" s="31">
        <f t="shared" ref="F206:F210" si="25">SUM(H206:U206)</f>
        <v>889808</v>
      </c>
      <c r="H206" s="31">
        <f>SUMIFS(LinkFromRateBase!$I:$I,LinkFromRateBase!$E:$E,H$5,LinkFromRateBase!$F:$F,$D206)</f>
        <v>0</v>
      </c>
      <c r="I206" s="31">
        <f>SUMIFS(LinkFromRateBase!$I:$I,LinkFromRateBase!$E:$E,I$5,LinkFromRateBase!$F:$F,$D206)</f>
        <v>0</v>
      </c>
      <c r="J206" s="31">
        <f>SUMIFS(LinkFromRateBase!$I:$I,LinkFromRateBase!$E:$E,J$5,LinkFromRateBase!$F:$F,$D206)</f>
        <v>0</v>
      </c>
      <c r="K206" s="31">
        <f>SUMIFS(LinkFromRateBase!$I:$I,LinkFromRateBase!$E:$E,K$5,LinkFromRateBase!$F:$F,$D206)</f>
        <v>0</v>
      </c>
      <c r="L206" s="31">
        <f>SUMIFS(LinkFromRateBase!$I:$I,LinkFromRateBase!$E:$E,L$5,LinkFromRateBase!$F:$F,$D206)</f>
        <v>0</v>
      </c>
      <c r="M206" s="31">
        <f>SUMIFS(LinkFromRateBase!$I:$I,LinkFromRateBase!$E:$E,M$5,LinkFromRateBase!$F:$F,$D206)</f>
        <v>0</v>
      </c>
      <c r="N206" s="31">
        <f>SUMIFS(LinkFromRateBase!$I:$I,LinkFromRateBase!$E:$E,N$5,LinkFromRateBase!$F:$F,$D206)</f>
        <v>0</v>
      </c>
      <c r="O206" s="31">
        <f>SUMIFS(LinkFromRateBase!$I:$I,LinkFromRateBase!$E:$E,O$5,LinkFromRateBase!$F:$F,$D206)</f>
        <v>0</v>
      </c>
      <c r="P206" s="31">
        <f>SUMIFS(LinkFromRateBase!$I:$I,LinkFromRateBase!$E:$E,P$5,LinkFromRateBase!$F:$F,$D206)</f>
        <v>0</v>
      </c>
      <c r="Q206" s="31">
        <f>SUMIFS(LinkFromRateBase!$I:$I,LinkFromRateBase!$E:$E,Q$5,LinkFromRateBase!$F:$F,$D206)</f>
        <v>889808</v>
      </c>
      <c r="R206" s="31">
        <f>SUMIFS(LinkFromRateBase!$I:$I,LinkFromRateBase!$E:$E,R$5,LinkFromRateBase!$F:$F,$D206)</f>
        <v>0</v>
      </c>
      <c r="S206" s="31">
        <f>SUMIFS(LinkFromRateBase!$I:$I,LinkFromRateBase!$E:$E,S$5,LinkFromRateBase!$F:$F,$D206)</f>
        <v>0</v>
      </c>
      <c r="T206" s="31">
        <f>SUMIFS(LinkFromRateBase!$I:$I,LinkFromRateBase!$E:$E,T$5,LinkFromRateBase!$F:$F,$D206)</f>
        <v>0</v>
      </c>
      <c r="U206" s="31">
        <f>SUMIFS(LinkFromRateBase!$I:$I,LinkFromRateBase!$E:$E,U$5,LinkFromRateBase!$F:$F,$D206)</f>
        <v>0</v>
      </c>
      <c r="V206" s="31"/>
      <c r="W206"/>
    </row>
    <row r="207" spans="2:23" x14ac:dyDescent="0.25">
      <c r="B207" s="228" t="s">
        <v>7236</v>
      </c>
      <c r="C207" s="1"/>
      <c r="D207" s="2" t="s">
        <v>8037</v>
      </c>
      <c r="F207" s="31">
        <f t="shared" si="25"/>
        <v>31633</v>
      </c>
      <c r="H207" s="31">
        <f>SUMIFS(LinkFromRateBase!$I:$I,LinkFromRateBase!$E:$E,H$5,LinkFromRateBase!$F:$F,$D207)</f>
        <v>0</v>
      </c>
      <c r="I207" s="31">
        <f>SUMIFS(LinkFromRateBase!$I:$I,LinkFromRateBase!$E:$E,I$5,LinkFromRateBase!$F:$F,$D207)</f>
        <v>0</v>
      </c>
      <c r="J207" s="31">
        <f>SUMIFS(LinkFromRateBase!$I:$I,LinkFromRateBase!$E:$E,J$5,LinkFromRateBase!$F:$F,$D207)</f>
        <v>0</v>
      </c>
      <c r="K207" s="31">
        <f>SUMIFS(LinkFromRateBase!$I:$I,LinkFromRateBase!$E:$E,K$5,LinkFromRateBase!$F:$F,$D207)</f>
        <v>0</v>
      </c>
      <c r="L207" s="31">
        <f>SUMIFS(LinkFromRateBase!$I:$I,LinkFromRateBase!$E:$E,L$5,LinkFromRateBase!$F:$F,$D207)</f>
        <v>0</v>
      </c>
      <c r="M207" s="31">
        <f>SUMIFS(LinkFromRateBase!$I:$I,LinkFromRateBase!$E:$E,M$5,LinkFromRateBase!$F:$F,$D207)</f>
        <v>0</v>
      </c>
      <c r="N207" s="31">
        <f>SUMIFS(LinkFromRateBase!$I:$I,LinkFromRateBase!$E:$E,N$5,LinkFromRateBase!$F:$F,$D207)</f>
        <v>0</v>
      </c>
      <c r="O207" s="31">
        <f>SUMIFS(LinkFromRateBase!$I:$I,LinkFromRateBase!$E:$E,O$5,LinkFromRateBase!$F:$F,$D207)</f>
        <v>0</v>
      </c>
      <c r="P207" s="31">
        <f>SUMIFS(LinkFromRateBase!$I:$I,LinkFromRateBase!$E:$E,P$5,LinkFromRateBase!$F:$F,$D207)</f>
        <v>0</v>
      </c>
      <c r="Q207" s="31">
        <f>SUMIFS(LinkFromRateBase!$I:$I,LinkFromRateBase!$E:$E,Q$5,LinkFromRateBase!$F:$F,$D207)</f>
        <v>31633</v>
      </c>
      <c r="R207" s="31">
        <f>SUMIFS(LinkFromRateBase!$I:$I,LinkFromRateBase!$E:$E,R$5,LinkFromRateBase!$F:$F,$D207)</f>
        <v>0</v>
      </c>
      <c r="S207" s="31">
        <f>SUMIFS(LinkFromRateBase!$I:$I,LinkFromRateBase!$E:$E,S$5,LinkFromRateBase!$F:$F,$D207)</f>
        <v>0</v>
      </c>
      <c r="T207" s="31">
        <f>SUMIFS(LinkFromRateBase!$I:$I,LinkFromRateBase!$E:$E,T$5,LinkFromRateBase!$F:$F,$D207)</f>
        <v>0</v>
      </c>
      <c r="U207" s="31">
        <f>SUMIFS(LinkFromRateBase!$I:$I,LinkFromRateBase!$E:$E,U$5,LinkFromRateBase!$F:$F,$D207)</f>
        <v>0</v>
      </c>
      <c r="V207" s="31"/>
      <c r="W207"/>
    </row>
    <row r="208" spans="2:23" x14ac:dyDescent="0.25">
      <c r="B208" s="228" t="s">
        <v>7236</v>
      </c>
      <c r="C208" s="1"/>
      <c r="D208" s="2" t="s">
        <v>8039</v>
      </c>
      <c r="F208" s="31">
        <f t="shared" si="25"/>
        <v>367580</v>
      </c>
      <c r="H208" s="31">
        <f>SUMIFS(LinkFromRateBase!$I:$I,LinkFromRateBase!$E:$E,H$5,LinkFromRateBase!$F:$F,$D208)</f>
        <v>0</v>
      </c>
      <c r="I208" s="31">
        <f>SUMIFS(LinkFromRateBase!$I:$I,LinkFromRateBase!$E:$E,I$5,LinkFromRateBase!$F:$F,$D208)</f>
        <v>0</v>
      </c>
      <c r="J208" s="31">
        <f>SUMIFS(LinkFromRateBase!$I:$I,LinkFromRateBase!$E:$E,J$5,LinkFromRateBase!$F:$F,$D208)</f>
        <v>0</v>
      </c>
      <c r="K208" s="31">
        <f>SUMIFS(LinkFromRateBase!$I:$I,LinkFromRateBase!$E:$E,K$5,LinkFromRateBase!$F:$F,$D208)</f>
        <v>0</v>
      </c>
      <c r="L208" s="31">
        <f>SUMIFS(LinkFromRateBase!$I:$I,LinkFromRateBase!$E:$E,L$5,LinkFromRateBase!$F:$F,$D208)</f>
        <v>0</v>
      </c>
      <c r="M208" s="31">
        <f>SUMIFS(LinkFromRateBase!$I:$I,LinkFromRateBase!$E:$E,M$5,LinkFromRateBase!$F:$F,$D208)</f>
        <v>0</v>
      </c>
      <c r="N208" s="31">
        <f>SUMIFS(LinkFromRateBase!$I:$I,LinkFromRateBase!$E:$E,N$5,LinkFromRateBase!$F:$F,$D208)</f>
        <v>0</v>
      </c>
      <c r="O208" s="31">
        <f>SUMIFS(LinkFromRateBase!$I:$I,LinkFromRateBase!$E:$E,O$5,LinkFromRateBase!$F:$F,$D208)</f>
        <v>0</v>
      </c>
      <c r="P208" s="31">
        <f>SUMIFS(LinkFromRateBase!$I:$I,LinkFromRateBase!$E:$E,P$5,LinkFromRateBase!$F:$F,$D208)</f>
        <v>0</v>
      </c>
      <c r="Q208" s="31">
        <f>SUMIFS(LinkFromRateBase!$I:$I,LinkFromRateBase!$E:$E,Q$5,LinkFromRateBase!$F:$F,$D208)</f>
        <v>367580</v>
      </c>
      <c r="R208" s="31">
        <f>SUMIFS(LinkFromRateBase!$I:$I,LinkFromRateBase!$E:$E,R$5,LinkFromRateBase!$F:$F,$D208)</f>
        <v>0</v>
      </c>
      <c r="S208" s="31">
        <f>SUMIFS(LinkFromRateBase!$I:$I,LinkFromRateBase!$E:$E,S$5,LinkFromRateBase!$F:$F,$D208)</f>
        <v>0</v>
      </c>
      <c r="T208" s="31">
        <f>SUMIFS(LinkFromRateBase!$I:$I,LinkFromRateBase!$E:$E,T$5,LinkFromRateBase!$F:$F,$D208)</f>
        <v>0</v>
      </c>
      <c r="U208" s="31">
        <f>SUMIFS(LinkFromRateBase!$I:$I,LinkFromRateBase!$E:$E,U$5,LinkFromRateBase!$F:$F,$D208)</f>
        <v>0</v>
      </c>
      <c r="V208" s="31"/>
      <c r="W208"/>
    </row>
    <row r="209" spans="2:23" x14ac:dyDescent="0.25">
      <c r="B209" s="228" t="s">
        <v>7236</v>
      </c>
      <c r="C209" s="1"/>
      <c r="D209" s="2" t="s">
        <v>8041</v>
      </c>
      <c r="F209" s="31">
        <f t="shared" si="25"/>
        <v>14398</v>
      </c>
      <c r="H209" s="31">
        <f>SUMIFS(LinkFromRateBase!$I:$I,LinkFromRateBase!$E:$E,H$5,LinkFromRateBase!$F:$F,$D209)</f>
        <v>0</v>
      </c>
      <c r="I209" s="31">
        <f>SUMIFS(LinkFromRateBase!$I:$I,LinkFromRateBase!$E:$E,I$5,LinkFromRateBase!$F:$F,$D209)</f>
        <v>0</v>
      </c>
      <c r="J209" s="31">
        <f>SUMIFS(LinkFromRateBase!$I:$I,LinkFromRateBase!$E:$E,J$5,LinkFromRateBase!$F:$F,$D209)</f>
        <v>0</v>
      </c>
      <c r="K209" s="31">
        <f>SUMIFS(LinkFromRateBase!$I:$I,LinkFromRateBase!$E:$E,K$5,LinkFromRateBase!$F:$F,$D209)</f>
        <v>0</v>
      </c>
      <c r="L209" s="31">
        <f>SUMIFS(LinkFromRateBase!$I:$I,LinkFromRateBase!$E:$E,L$5,LinkFromRateBase!$F:$F,$D209)</f>
        <v>0</v>
      </c>
      <c r="M209" s="31">
        <f>SUMIFS(LinkFromRateBase!$I:$I,LinkFromRateBase!$E:$E,M$5,LinkFromRateBase!$F:$F,$D209)</f>
        <v>0</v>
      </c>
      <c r="N209" s="31">
        <f>SUMIFS(LinkFromRateBase!$I:$I,LinkFromRateBase!$E:$E,N$5,LinkFromRateBase!$F:$F,$D209)</f>
        <v>0</v>
      </c>
      <c r="O209" s="31">
        <f>SUMIFS(LinkFromRateBase!$I:$I,LinkFromRateBase!$E:$E,O$5,LinkFromRateBase!$F:$F,$D209)</f>
        <v>0</v>
      </c>
      <c r="P209" s="31">
        <f>SUMIFS(LinkFromRateBase!$I:$I,LinkFromRateBase!$E:$E,P$5,LinkFromRateBase!$F:$F,$D209)</f>
        <v>0</v>
      </c>
      <c r="Q209" s="31">
        <f>SUMIFS(LinkFromRateBase!$I:$I,LinkFromRateBase!$E:$E,Q$5,LinkFromRateBase!$F:$F,$D209)</f>
        <v>14398</v>
      </c>
      <c r="R209" s="31">
        <f>SUMIFS(LinkFromRateBase!$I:$I,LinkFromRateBase!$E:$E,R$5,LinkFromRateBase!$F:$F,$D209)</f>
        <v>0</v>
      </c>
      <c r="S209" s="31">
        <f>SUMIFS(LinkFromRateBase!$I:$I,LinkFromRateBase!$E:$E,S$5,LinkFromRateBase!$F:$F,$D209)</f>
        <v>0</v>
      </c>
      <c r="T209" s="31">
        <f>SUMIFS(LinkFromRateBase!$I:$I,LinkFromRateBase!$E:$E,T$5,LinkFromRateBase!$F:$F,$D209)</f>
        <v>0</v>
      </c>
      <c r="U209" s="31">
        <f>SUMIFS(LinkFromRateBase!$I:$I,LinkFromRateBase!$E:$E,U$5,LinkFromRateBase!$F:$F,$D209)</f>
        <v>0</v>
      </c>
      <c r="V209" s="31"/>
      <c r="W209"/>
    </row>
    <row r="210" spans="2:23" x14ac:dyDescent="0.25">
      <c r="B210" s="228" t="s">
        <v>7236</v>
      </c>
      <c r="C210" s="1"/>
      <c r="D210" s="2" t="s">
        <v>8043</v>
      </c>
      <c r="F210" s="31">
        <f t="shared" si="25"/>
        <v>114766</v>
      </c>
      <c r="H210" s="31">
        <f>SUMIFS(LinkFromRateBase!$I:$I,LinkFromRateBase!$E:$E,H$5,LinkFromRateBase!$F:$F,$D210)</f>
        <v>0</v>
      </c>
      <c r="I210" s="31">
        <f>SUMIFS(LinkFromRateBase!$I:$I,LinkFromRateBase!$E:$E,I$5,LinkFromRateBase!$F:$F,$D210)</f>
        <v>0</v>
      </c>
      <c r="J210" s="31">
        <f>SUMIFS(LinkFromRateBase!$I:$I,LinkFromRateBase!$E:$E,J$5,LinkFromRateBase!$F:$F,$D210)</f>
        <v>0</v>
      </c>
      <c r="K210" s="31">
        <f>SUMIFS(LinkFromRateBase!$I:$I,LinkFromRateBase!$E:$E,K$5,LinkFromRateBase!$F:$F,$D210)</f>
        <v>0</v>
      </c>
      <c r="L210" s="31">
        <f>SUMIFS(LinkFromRateBase!$I:$I,LinkFromRateBase!$E:$E,L$5,LinkFromRateBase!$F:$F,$D210)</f>
        <v>0</v>
      </c>
      <c r="M210" s="31">
        <f>SUMIFS(LinkFromRateBase!$I:$I,LinkFromRateBase!$E:$E,M$5,LinkFromRateBase!$F:$F,$D210)</f>
        <v>0</v>
      </c>
      <c r="N210" s="31">
        <f>SUMIFS(LinkFromRateBase!$I:$I,LinkFromRateBase!$E:$E,N$5,LinkFromRateBase!$F:$F,$D210)</f>
        <v>0</v>
      </c>
      <c r="O210" s="31">
        <f>SUMIFS(LinkFromRateBase!$I:$I,LinkFromRateBase!$E:$E,O$5,LinkFromRateBase!$F:$F,$D210)</f>
        <v>0</v>
      </c>
      <c r="P210" s="31">
        <f>SUMIFS(LinkFromRateBase!$I:$I,LinkFromRateBase!$E:$E,P$5,LinkFromRateBase!$F:$F,$D210)</f>
        <v>0</v>
      </c>
      <c r="Q210" s="31">
        <f>SUMIFS(LinkFromRateBase!$I:$I,LinkFromRateBase!$E:$E,Q$5,LinkFromRateBase!$F:$F,$D210)</f>
        <v>114766</v>
      </c>
      <c r="R210" s="31">
        <f>SUMIFS(LinkFromRateBase!$I:$I,LinkFromRateBase!$E:$E,R$5,LinkFromRateBase!$F:$F,$D210)</f>
        <v>0</v>
      </c>
      <c r="S210" s="31">
        <f>SUMIFS(LinkFromRateBase!$I:$I,LinkFromRateBase!$E:$E,S$5,LinkFromRateBase!$F:$F,$D210)</f>
        <v>0</v>
      </c>
      <c r="T210" s="31">
        <f>SUMIFS(LinkFromRateBase!$I:$I,LinkFromRateBase!$E:$E,T$5,LinkFromRateBase!$F:$F,$D210)</f>
        <v>0</v>
      </c>
      <c r="U210" s="31">
        <f>SUMIFS(LinkFromRateBase!$I:$I,LinkFromRateBase!$E:$E,U$5,LinkFromRateBase!$F:$F,$D210)</f>
        <v>0</v>
      </c>
      <c r="V210" s="31"/>
      <c r="W210"/>
    </row>
    <row r="211" spans="2:23" x14ac:dyDescent="0.25">
      <c r="B211" s="13"/>
      <c r="C211" s="1"/>
      <c r="F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/>
    </row>
    <row r="212" spans="2:23" x14ac:dyDescent="0.25">
      <c r="B212" s="13"/>
      <c r="C212" s="1" t="s">
        <v>6962</v>
      </c>
      <c r="F212" s="31"/>
      <c r="H212" s="31">
        <f>SUMIFS(LinkFromRateBase!$I:$I,LinkFromRateBase!$E:$E,H$5,LinkFromRateBase!$F:$F,$D212)</f>
        <v>0</v>
      </c>
      <c r="I212" s="31">
        <f>SUMIFS(LinkFromRateBase!$I:$I,LinkFromRateBase!$E:$E,I$5,LinkFromRateBase!$F:$F,$D212)</f>
        <v>0</v>
      </c>
      <c r="J212" s="31">
        <f>SUMIFS(LinkFromRateBase!$I:$I,LinkFromRateBase!$E:$E,J$5,LinkFromRateBase!$F:$F,$D212)</f>
        <v>0</v>
      </c>
      <c r="K212" s="31">
        <f>SUMIFS(LinkFromRateBase!$I:$I,LinkFromRateBase!$E:$E,K$5,LinkFromRateBase!$F:$F,$D212)</f>
        <v>0</v>
      </c>
      <c r="L212" s="31">
        <f>SUMIFS(LinkFromRateBase!$I:$I,LinkFromRateBase!$E:$E,L$5,LinkFromRateBase!$F:$F,$D212)</f>
        <v>0</v>
      </c>
      <c r="M212" s="31">
        <f>SUMIFS(LinkFromRateBase!$I:$I,LinkFromRateBase!$E:$E,M$5,LinkFromRateBase!$F:$F,$D212)</f>
        <v>0</v>
      </c>
      <c r="N212" s="31">
        <f>SUMIFS(LinkFromRateBase!$I:$I,LinkFromRateBase!$E:$E,N$5,LinkFromRateBase!$F:$F,$D212)</f>
        <v>0</v>
      </c>
      <c r="O212" s="31">
        <f>SUMIFS(LinkFromRateBase!$I:$I,LinkFromRateBase!$E:$E,O$5,LinkFromRateBase!$F:$F,$D212)</f>
        <v>0</v>
      </c>
      <c r="P212" s="31">
        <f>SUMIFS(LinkFromRateBase!$I:$I,LinkFromRateBase!$E:$E,P$5,LinkFromRateBase!$F:$F,$D212)</f>
        <v>0</v>
      </c>
      <c r="Q212" s="31">
        <f>SUMIFS(LinkFromRateBase!$I:$I,LinkFromRateBase!$E:$E,Q$5,LinkFromRateBase!$F:$F,$D212)</f>
        <v>0</v>
      </c>
      <c r="R212" s="31">
        <f>SUMIFS(LinkFromRateBase!$I:$I,LinkFromRateBase!$E:$E,R$5,LinkFromRateBase!$F:$F,$D212)</f>
        <v>0</v>
      </c>
      <c r="S212" s="31">
        <f>SUMIFS(LinkFromRateBase!$I:$I,LinkFromRateBase!$E:$E,S$5,LinkFromRateBase!$F:$F,$D212)</f>
        <v>0</v>
      </c>
      <c r="T212" s="31">
        <f>SUMIFS(LinkFromRateBase!$I:$I,LinkFromRateBase!$E:$E,T$5,LinkFromRateBase!$F:$F,$D212)</f>
        <v>0</v>
      </c>
      <c r="U212" s="31">
        <f>SUMIFS(LinkFromRateBase!$I:$I,LinkFromRateBase!$E:$E,U$5,LinkFromRateBase!$F:$F,$D212)</f>
        <v>0</v>
      </c>
      <c r="V212" s="31"/>
      <c r="W212"/>
    </row>
    <row r="213" spans="2:23" x14ac:dyDescent="0.25">
      <c r="B213" s="228" t="s">
        <v>7235</v>
      </c>
      <c r="C213" s="1"/>
      <c r="D213" s="2" t="s">
        <v>8033</v>
      </c>
      <c r="F213" s="31">
        <f t="shared" ref="F213" si="26">SUM(H213:U213)</f>
        <v>133148</v>
      </c>
      <c r="H213" s="31">
        <f>SUMIFS(LinkFromRateBase!$I:$I,LinkFromRateBase!$E:$E,H$5,LinkFromRateBase!$F:$F,$D213)</f>
        <v>0</v>
      </c>
      <c r="I213" s="31">
        <f>SUMIFS(LinkFromRateBase!$I:$I,LinkFromRateBase!$E:$E,I$5,LinkFromRateBase!$F:$F,$D213)</f>
        <v>0</v>
      </c>
      <c r="J213" s="31">
        <f>SUMIFS(LinkFromRateBase!$I:$I,LinkFromRateBase!$E:$E,J$5,LinkFromRateBase!$F:$F,$D213)</f>
        <v>0</v>
      </c>
      <c r="K213" s="31">
        <f>SUMIFS(LinkFromRateBase!$I:$I,LinkFromRateBase!$E:$E,K$5,LinkFromRateBase!$F:$F,$D213)</f>
        <v>0</v>
      </c>
      <c r="L213" s="31">
        <f>SUMIFS(LinkFromRateBase!$I:$I,LinkFromRateBase!$E:$E,L$5,LinkFromRateBase!$F:$F,$D213)</f>
        <v>0</v>
      </c>
      <c r="M213" s="31">
        <f>SUMIFS(LinkFromRateBase!$I:$I,LinkFromRateBase!$E:$E,M$5,LinkFromRateBase!$F:$F,$D213)</f>
        <v>0</v>
      </c>
      <c r="N213" s="31">
        <f>SUMIFS(LinkFromRateBase!$I:$I,LinkFromRateBase!$E:$E,N$5,LinkFromRateBase!$F:$F,$D213)</f>
        <v>0</v>
      </c>
      <c r="O213" s="31">
        <f>SUMIFS(LinkFromRateBase!$I:$I,LinkFromRateBase!$E:$E,O$5,LinkFromRateBase!$F:$F,$D213)</f>
        <v>0</v>
      </c>
      <c r="P213" s="31">
        <f>SUMIFS(LinkFromRateBase!$I:$I,LinkFromRateBase!$E:$E,P$5,LinkFromRateBase!$F:$F,$D213)</f>
        <v>0</v>
      </c>
      <c r="Q213" s="31">
        <f>SUMIFS(LinkFromRateBase!$I:$I,LinkFromRateBase!$E:$E,Q$5,LinkFromRateBase!$F:$F,$D213)</f>
        <v>0</v>
      </c>
      <c r="R213" s="31">
        <f>SUMIFS(LinkFromRateBase!$I:$I,LinkFromRateBase!$E:$E,R$5,LinkFromRateBase!$F:$F,$D213)</f>
        <v>133148</v>
      </c>
      <c r="S213" s="31">
        <f>SUMIFS(LinkFromRateBase!$I:$I,LinkFromRateBase!$E:$E,S$5,LinkFromRateBase!$F:$F,$D213)</f>
        <v>0</v>
      </c>
      <c r="T213" s="31">
        <f>SUMIFS(LinkFromRateBase!$I:$I,LinkFromRateBase!$E:$E,T$5,LinkFromRateBase!$F:$F,$D213)</f>
        <v>0</v>
      </c>
      <c r="U213" s="31">
        <f>SUMIFS(LinkFromRateBase!$I:$I,LinkFromRateBase!$E:$E,U$5,LinkFromRateBase!$F:$F,$D213)</f>
        <v>0</v>
      </c>
      <c r="V213" s="31"/>
      <c r="W213"/>
    </row>
    <row r="214" spans="2:23" x14ac:dyDescent="0.25">
      <c r="B214" s="13"/>
      <c r="C214" s="1"/>
      <c r="F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/>
    </row>
    <row r="215" spans="2:23" x14ac:dyDescent="0.25">
      <c r="B215" s="13"/>
      <c r="C215" s="1" t="s">
        <v>6963</v>
      </c>
      <c r="F215" s="31"/>
      <c r="H215" s="31">
        <f>SUMIFS(LinkFromRateBase!$I:$I,LinkFromRateBase!$E:$E,H$5,LinkFromRateBase!$F:$F,$D215)</f>
        <v>0</v>
      </c>
      <c r="I215" s="31">
        <f>SUMIFS(LinkFromRateBase!$I:$I,LinkFromRateBase!$E:$E,I$5,LinkFromRateBase!$F:$F,$D215)</f>
        <v>0</v>
      </c>
      <c r="J215" s="31">
        <f>SUMIFS(LinkFromRateBase!$I:$I,LinkFromRateBase!$E:$E,J$5,LinkFromRateBase!$F:$F,$D215)</f>
        <v>0</v>
      </c>
      <c r="K215" s="31">
        <f>SUMIFS(LinkFromRateBase!$I:$I,LinkFromRateBase!$E:$E,K$5,LinkFromRateBase!$F:$F,$D215)</f>
        <v>0</v>
      </c>
      <c r="L215" s="31">
        <f>SUMIFS(LinkFromRateBase!$I:$I,LinkFromRateBase!$E:$E,L$5,LinkFromRateBase!$F:$F,$D215)</f>
        <v>0</v>
      </c>
      <c r="M215" s="31">
        <f>SUMIFS(LinkFromRateBase!$I:$I,LinkFromRateBase!$E:$E,M$5,LinkFromRateBase!$F:$F,$D215)</f>
        <v>0</v>
      </c>
      <c r="N215" s="31">
        <f>SUMIFS(LinkFromRateBase!$I:$I,LinkFromRateBase!$E:$E,N$5,LinkFromRateBase!$F:$F,$D215)</f>
        <v>0</v>
      </c>
      <c r="O215" s="31">
        <f>SUMIFS(LinkFromRateBase!$I:$I,LinkFromRateBase!$E:$E,O$5,LinkFromRateBase!$F:$F,$D215)</f>
        <v>0</v>
      </c>
      <c r="P215" s="31">
        <f>SUMIFS(LinkFromRateBase!$I:$I,LinkFromRateBase!$E:$E,P$5,LinkFromRateBase!$F:$F,$D215)</f>
        <v>0</v>
      </c>
      <c r="Q215" s="31">
        <f>SUMIFS(LinkFromRateBase!$I:$I,LinkFromRateBase!$E:$E,Q$5,LinkFromRateBase!$F:$F,$D215)</f>
        <v>0</v>
      </c>
      <c r="R215" s="31">
        <f>SUMIFS(LinkFromRateBase!$I:$I,LinkFromRateBase!$E:$E,R$5,LinkFromRateBase!$F:$F,$D215)</f>
        <v>0</v>
      </c>
      <c r="S215" s="31">
        <f>SUMIFS(LinkFromRateBase!$I:$I,LinkFromRateBase!$E:$E,S$5,LinkFromRateBase!$F:$F,$D215)</f>
        <v>0</v>
      </c>
      <c r="T215" s="31">
        <f>SUMIFS(LinkFromRateBase!$I:$I,LinkFromRateBase!$E:$E,T$5,LinkFromRateBase!$F:$F,$D215)</f>
        <v>0</v>
      </c>
      <c r="U215" s="31">
        <f>SUMIFS(LinkFromRateBase!$I:$I,LinkFromRateBase!$E:$E,U$5,LinkFromRateBase!$F:$F,$D215)</f>
        <v>0</v>
      </c>
      <c r="V215" s="31"/>
      <c r="W215"/>
    </row>
    <row r="216" spans="2:23" x14ac:dyDescent="0.25">
      <c r="B216" s="228" t="s">
        <v>7237</v>
      </c>
      <c r="C216" s="1"/>
      <c r="D216" s="2" t="s">
        <v>8045</v>
      </c>
      <c r="F216" s="31">
        <f t="shared" ref="F216" si="27">SUM(H216:U216)</f>
        <v>530835</v>
      </c>
      <c r="H216" s="31">
        <f>SUMIFS(LinkFromRateBase!$I:$I,LinkFromRateBase!$E:$E,H$5,LinkFromRateBase!$F:$F,$D216)</f>
        <v>0</v>
      </c>
      <c r="I216" s="31">
        <f>SUMIFS(LinkFromRateBase!$I:$I,LinkFromRateBase!$E:$E,I$5,LinkFromRateBase!$F:$F,$D216)</f>
        <v>0</v>
      </c>
      <c r="J216" s="31">
        <f>SUMIFS(LinkFromRateBase!$I:$I,LinkFromRateBase!$E:$E,J$5,LinkFromRateBase!$F:$F,$D216)</f>
        <v>0</v>
      </c>
      <c r="K216" s="31">
        <f>SUMIFS(LinkFromRateBase!$I:$I,LinkFromRateBase!$E:$E,K$5,LinkFromRateBase!$F:$F,$D216)</f>
        <v>0</v>
      </c>
      <c r="L216" s="31">
        <f>SUMIFS(LinkFromRateBase!$I:$I,LinkFromRateBase!$E:$E,L$5,LinkFromRateBase!$F:$F,$D216)</f>
        <v>0</v>
      </c>
      <c r="M216" s="31">
        <f>SUMIFS(LinkFromRateBase!$I:$I,LinkFromRateBase!$E:$E,M$5,LinkFromRateBase!$F:$F,$D216)</f>
        <v>0</v>
      </c>
      <c r="N216" s="31">
        <f>SUMIFS(LinkFromRateBase!$I:$I,LinkFromRateBase!$E:$E,N$5,LinkFromRateBase!$F:$F,$D216)</f>
        <v>0</v>
      </c>
      <c r="O216" s="31">
        <f>SUMIFS(LinkFromRateBase!$I:$I,LinkFromRateBase!$E:$E,O$5,LinkFromRateBase!$F:$F,$D216)</f>
        <v>0</v>
      </c>
      <c r="P216" s="31">
        <f>SUMIFS(LinkFromRateBase!$I:$I,LinkFromRateBase!$E:$E,P$5,LinkFromRateBase!$F:$F,$D216)</f>
        <v>0</v>
      </c>
      <c r="Q216" s="31">
        <f>SUMIFS(LinkFromRateBase!$I:$I,LinkFromRateBase!$E:$E,Q$5,LinkFromRateBase!$F:$F,$D216)</f>
        <v>0</v>
      </c>
      <c r="R216" s="31">
        <f>SUMIFS(LinkFromRateBase!$I:$I,LinkFromRateBase!$E:$E,R$5,LinkFromRateBase!$F:$F,$D216)</f>
        <v>0</v>
      </c>
      <c r="S216" s="31">
        <f>SUMIFS(LinkFromRateBase!$I:$I,LinkFromRateBase!$E:$E,S$5,LinkFromRateBase!$F:$F,$D216)</f>
        <v>0</v>
      </c>
      <c r="T216" s="31">
        <f>SUMIFS(LinkFromRateBase!$I:$I,LinkFromRateBase!$E:$E,T$5,LinkFromRateBase!$F:$F,$D216)</f>
        <v>530835</v>
      </c>
      <c r="U216" s="31">
        <f>SUMIFS(LinkFromRateBase!$I:$I,LinkFromRateBase!$E:$E,U$5,LinkFromRateBase!$F:$F,$D216)</f>
        <v>0</v>
      </c>
      <c r="V216" s="31"/>
      <c r="W216"/>
    </row>
    <row r="217" spans="2:23" x14ac:dyDescent="0.25">
      <c r="B217" s="13"/>
      <c r="C217" s="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/>
    </row>
    <row r="218" spans="2:23" x14ac:dyDescent="0.25">
      <c r="B218" s="13"/>
      <c r="C218" s="1" t="s">
        <v>6927</v>
      </c>
      <c r="H218" s="31">
        <f>SUMIFS(LinkFromRateBase!$I:$I,LinkFromRateBase!$E:$E,H$5,LinkFromRateBase!$F:$F,$D218)</f>
        <v>0</v>
      </c>
      <c r="I218" s="31">
        <f>SUMIFS(LinkFromRateBase!$I:$I,LinkFromRateBase!$E:$E,I$5,LinkFromRateBase!$F:$F,$D218)</f>
        <v>0</v>
      </c>
      <c r="J218" s="31">
        <f>SUMIFS(LinkFromRateBase!$I:$I,LinkFromRateBase!$E:$E,J$5,LinkFromRateBase!$F:$F,$D218)</f>
        <v>0</v>
      </c>
      <c r="K218" s="31">
        <f>SUMIFS(LinkFromRateBase!$I:$I,LinkFromRateBase!$E:$E,K$5,LinkFromRateBase!$F:$F,$D218)</f>
        <v>0</v>
      </c>
      <c r="L218" s="31">
        <f>SUMIFS(LinkFromRateBase!$I:$I,LinkFromRateBase!$E:$E,L$5,LinkFromRateBase!$F:$F,$D218)</f>
        <v>0</v>
      </c>
      <c r="M218" s="31">
        <f>SUMIFS(LinkFromRateBase!$I:$I,LinkFromRateBase!$E:$E,M$5,LinkFromRateBase!$F:$F,$D218)</f>
        <v>0</v>
      </c>
      <c r="N218" s="31">
        <f>SUMIFS(LinkFromRateBase!$I:$I,LinkFromRateBase!$E:$E,N$5,LinkFromRateBase!$F:$F,$D218)</f>
        <v>0</v>
      </c>
      <c r="O218" s="31">
        <f>SUMIFS(LinkFromRateBase!$I:$I,LinkFromRateBase!$E:$E,O$5,LinkFromRateBase!$F:$F,$D218)</f>
        <v>0</v>
      </c>
      <c r="P218" s="31">
        <f>SUMIFS(LinkFromRateBase!$I:$I,LinkFromRateBase!$E:$E,P$5,LinkFromRateBase!$F:$F,$D218)</f>
        <v>0</v>
      </c>
      <c r="Q218" s="31">
        <f>SUMIFS(LinkFromRateBase!$I:$I,LinkFromRateBase!$E:$E,Q$5,LinkFromRateBase!$F:$F,$D218)</f>
        <v>0</v>
      </c>
      <c r="R218" s="31">
        <f>SUMIFS(LinkFromRateBase!$I:$I,LinkFromRateBase!$E:$E,R$5,LinkFromRateBase!$F:$F,$D218)</f>
        <v>0</v>
      </c>
      <c r="S218" s="31">
        <f>SUMIFS(LinkFromRateBase!$I:$I,LinkFromRateBase!$E:$E,S$5,LinkFromRateBase!$F:$F,$D218)</f>
        <v>0</v>
      </c>
      <c r="T218" s="31">
        <f>SUMIFS(LinkFromRateBase!$I:$I,LinkFromRateBase!$E:$E,T$5,LinkFromRateBase!$F:$F,$D218)</f>
        <v>0</v>
      </c>
      <c r="U218" s="31">
        <f>SUMIFS(LinkFromRateBase!$I:$I,LinkFromRateBase!$E:$E,U$5,LinkFromRateBase!$F:$F,$D218)</f>
        <v>0</v>
      </c>
      <c r="V218" s="31"/>
      <c r="W218"/>
    </row>
    <row r="219" spans="2:23" x14ac:dyDescent="0.25">
      <c r="B219" s="229" t="s">
        <v>7197</v>
      </c>
      <c r="D219" s="15" t="s">
        <v>8049</v>
      </c>
      <c r="F219" s="31">
        <f t="shared" ref="F219:F247" si="28">SUM(H219:U219)</f>
        <v>0</v>
      </c>
      <c r="H219" s="31">
        <f>SUMIFS(LinkFromRateBase!$I:$I,LinkFromRateBase!$E:$E,H$5,LinkFromRateBase!$F:$F,$D219)</f>
        <v>0</v>
      </c>
      <c r="I219" s="31">
        <f>SUMIFS(LinkFromRateBase!$I:$I,LinkFromRateBase!$E:$E,I$5,LinkFromRateBase!$F:$F,$D219)</f>
        <v>0</v>
      </c>
      <c r="J219" s="31">
        <f>SUMIFS(LinkFromRateBase!$I:$I,LinkFromRateBase!$E:$E,J$5,LinkFromRateBase!$F:$F,$D219)</f>
        <v>0</v>
      </c>
      <c r="K219" s="31">
        <f>SUMIFS(LinkFromRateBase!$I:$I,LinkFromRateBase!$E:$E,K$5,LinkFromRateBase!$F:$F,$D219)</f>
        <v>0</v>
      </c>
      <c r="L219" s="31">
        <f>SUMIFS(LinkFromRateBase!$I:$I,LinkFromRateBase!$E:$E,L$5,LinkFromRateBase!$F:$F,$D219)</f>
        <v>0</v>
      </c>
      <c r="M219" s="31">
        <f>SUMIFS(LinkFromRateBase!$I:$I,LinkFromRateBase!$E:$E,M$5,LinkFromRateBase!$F:$F,$D219)</f>
        <v>0</v>
      </c>
      <c r="N219" s="31">
        <f>SUMIFS(LinkFromRateBase!$I:$I,LinkFromRateBase!$E:$E,N$5,LinkFromRateBase!$F:$F,$D219)</f>
        <v>0</v>
      </c>
      <c r="O219" s="31">
        <f>SUMIFS(LinkFromRateBase!$I:$I,LinkFromRateBase!$E:$E,O$5,LinkFromRateBase!$F:$F,$D219)</f>
        <v>0</v>
      </c>
      <c r="P219" s="31">
        <f>SUMIFS(LinkFromRateBase!$I:$I,LinkFromRateBase!$E:$E,P$5,LinkFromRateBase!$F:$F,$D219)</f>
        <v>0</v>
      </c>
      <c r="Q219" s="31">
        <f>SUMIFS(LinkFromRateBase!$I:$I,LinkFromRateBase!$E:$E,Q$5,LinkFromRateBase!$F:$F,$D219)</f>
        <v>0</v>
      </c>
      <c r="R219" s="31">
        <f>SUMIFS(LinkFromRateBase!$I:$I,LinkFromRateBase!$E:$E,R$5,LinkFromRateBase!$F:$F,$D219)</f>
        <v>0</v>
      </c>
      <c r="S219" s="31">
        <f>SUMIFS(LinkFromRateBase!$I:$I,LinkFromRateBase!$E:$E,S$5,LinkFromRateBase!$F:$F,$D219)</f>
        <v>0</v>
      </c>
      <c r="T219" s="31">
        <f>SUMIFS(LinkFromRateBase!$I:$I,LinkFromRateBase!$E:$E,T$5,LinkFromRateBase!$F:$F,$D219)</f>
        <v>0</v>
      </c>
      <c r="U219" s="31">
        <f>SUMIFS(LinkFromRateBase!$I:$I,LinkFromRateBase!$E:$E,U$5,LinkFromRateBase!$F:$F,$D219)</f>
        <v>0</v>
      </c>
      <c r="V219" s="31"/>
      <c r="W219"/>
    </row>
    <row r="220" spans="2:23" x14ac:dyDescent="0.25">
      <c r="B220" s="229" t="s">
        <v>7206</v>
      </c>
      <c r="D220" s="15" t="s">
        <v>8051</v>
      </c>
      <c r="F220" s="31">
        <f t="shared" si="28"/>
        <v>31766</v>
      </c>
      <c r="H220" s="31">
        <f>SUMIFS(LinkFromRateBase!$I:$I,LinkFromRateBase!$E:$E,H$5,LinkFromRateBase!$F:$F,$D220)</f>
        <v>0</v>
      </c>
      <c r="I220" s="31">
        <f>SUMIFS(LinkFromRateBase!$I:$I,LinkFromRateBase!$E:$E,I$5,LinkFromRateBase!$F:$F,$D220)</f>
        <v>0</v>
      </c>
      <c r="J220" s="31">
        <f>SUMIFS(LinkFromRateBase!$I:$I,LinkFromRateBase!$E:$E,J$5,LinkFromRateBase!$F:$F,$D220)</f>
        <v>0</v>
      </c>
      <c r="K220" s="31">
        <f>SUMIFS(LinkFromRateBase!$I:$I,LinkFromRateBase!$E:$E,K$5,LinkFromRateBase!$F:$F,$D220)</f>
        <v>0</v>
      </c>
      <c r="L220" s="31">
        <f>SUMIFS(LinkFromRateBase!$I:$I,LinkFromRateBase!$E:$E,L$5,LinkFromRateBase!$F:$F,$D220)</f>
        <v>0</v>
      </c>
      <c r="M220" s="31">
        <f>SUMIFS(LinkFromRateBase!$I:$I,LinkFromRateBase!$E:$E,M$5,LinkFromRateBase!$F:$F,$D220)</f>
        <v>0</v>
      </c>
      <c r="N220" s="31">
        <f>SUMIFS(LinkFromRateBase!$I:$I,LinkFromRateBase!$E:$E,N$5,LinkFromRateBase!$F:$F,$D220)</f>
        <v>0</v>
      </c>
      <c r="O220" s="31">
        <f>SUMIFS(LinkFromRateBase!$I:$I,LinkFromRateBase!$E:$E,O$5,LinkFromRateBase!$F:$F,$D220)</f>
        <v>0</v>
      </c>
      <c r="P220" s="31">
        <f>SUMIFS(LinkFromRateBase!$I:$I,LinkFromRateBase!$E:$E,P$5,LinkFromRateBase!$F:$F,$D220)</f>
        <v>0</v>
      </c>
      <c r="Q220" s="31">
        <f>SUMIFS(LinkFromRateBase!$I:$I,LinkFromRateBase!$E:$E,Q$5,LinkFromRateBase!$F:$F,$D220)</f>
        <v>0</v>
      </c>
      <c r="R220" s="31">
        <f>SUMIFS(LinkFromRateBase!$I:$I,LinkFromRateBase!$E:$E,R$5,LinkFromRateBase!$F:$F,$D220)</f>
        <v>0</v>
      </c>
      <c r="S220" s="31">
        <f>SUMIFS(LinkFromRateBase!$I:$I,LinkFromRateBase!$E:$E,S$5,LinkFromRateBase!$F:$F,$D220)</f>
        <v>0</v>
      </c>
      <c r="T220" s="31">
        <f>SUMIFS(LinkFromRateBase!$I:$I,LinkFromRateBase!$E:$E,T$5,LinkFromRateBase!$F:$F,$D220)</f>
        <v>0</v>
      </c>
      <c r="U220" s="31">
        <f>SUMIFS(LinkFromRateBase!$I:$I,LinkFromRateBase!$E:$E,U$5,LinkFromRateBase!$F:$F,$D220)</f>
        <v>31766</v>
      </c>
      <c r="V220" s="31"/>
      <c r="W220"/>
    </row>
    <row r="221" spans="2:23" x14ac:dyDescent="0.25">
      <c r="B221" s="229" t="s">
        <v>7206</v>
      </c>
      <c r="D221" s="15" t="s">
        <v>8053</v>
      </c>
      <c r="F221" s="31">
        <f t="shared" si="28"/>
        <v>0</v>
      </c>
      <c r="H221" s="31">
        <f>SUMIFS(LinkFromRateBase!$I:$I,LinkFromRateBase!$E:$E,H$5,LinkFromRateBase!$F:$F,$D221)</f>
        <v>0</v>
      </c>
      <c r="I221" s="31">
        <f>SUMIFS(LinkFromRateBase!$I:$I,LinkFromRateBase!$E:$E,I$5,LinkFromRateBase!$F:$F,$D221)</f>
        <v>0</v>
      </c>
      <c r="J221" s="31">
        <f>SUMIFS(LinkFromRateBase!$I:$I,LinkFromRateBase!$E:$E,J$5,LinkFromRateBase!$F:$F,$D221)</f>
        <v>0</v>
      </c>
      <c r="K221" s="31">
        <f>SUMIFS(LinkFromRateBase!$I:$I,LinkFromRateBase!$E:$E,K$5,LinkFromRateBase!$F:$F,$D221)</f>
        <v>0</v>
      </c>
      <c r="L221" s="31">
        <f>SUMIFS(LinkFromRateBase!$I:$I,LinkFromRateBase!$E:$E,L$5,LinkFromRateBase!$F:$F,$D221)</f>
        <v>0</v>
      </c>
      <c r="M221" s="31">
        <f>SUMIFS(LinkFromRateBase!$I:$I,LinkFromRateBase!$E:$E,M$5,LinkFromRateBase!$F:$F,$D221)</f>
        <v>0</v>
      </c>
      <c r="N221" s="31">
        <f>SUMIFS(LinkFromRateBase!$I:$I,LinkFromRateBase!$E:$E,N$5,LinkFromRateBase!$F:$F,$D221)</f>
        <v>0</v>
      </c>
      <c r="O221" s="31">
        <f>SUMIFS(LinkFromRateBase!$I:$I,LinkFromRateBase!$E:$E,O$5,LinkFromRateBase!$F:$F,$D221)</f>
        <v>0</v>
      </c>
      <c r="P221" s="31">
        <f>SUMIFS(LinkFromRateBase!$I:$I,LinkFromRateBase!$E:$E,P$5,LinkFromRateBase!$F:$F,$D221)</f>
        <v>0</v>
      </c>
      <c r="Q221" s="31">
        <f>SUMIFS(LinkFromRateBase!$I:$I,LinkFromRateBase!$E:$E,Q$5,LinkFromRateBase!$F:$F,$D221)</f>
        <v>0</v>
      </c>
      <c r="R221" s="31">
        <f>SUMIFS(LinkFromRateBase!$I:$I,LinkFromRateBase!$E:$E,R$5,LinkFromRateBase!$F:$F,$D221)</f>
        <v>0</v>
      </c>
      <c r="S221" s="31">
        <f>SUMIFS(LinkFromRateBase!$I:$I,LinkFromRateBase!$E:$E,S$5,LinkFromRateBase!$F:$F,$D221)</f>
        <v>0</v>
      </c>
      <c r="T221" s="31">
        <f>SUMIFS(LinkFromRateBase!$I:$I,LinkFromRateBase!$E:$E,T$5,LinkFromRateBase!$F:$F,$D221)</f>
        <v>0</v>
      </c>
      <c r="U221" s="31">
        <f>SUMIFS(LinkFromRateBase!$I:$I,LinkFromRateBase!$E:$E,U$5,LinkFromRateBase!$F:$F,$D221)</f>
        <v>0</v>
      </c>
      <c r="V221" s="31"/>
      <c r="W221"/>
    </row>
    <row r="222" spans="2:23" x14ac:dyDescent="0.25">
      <c r="B222" s="229" t="s">
        <v>7206</v>
      </c>
      <c r="D222" s="15" t="s">
        <v>8055</v>
      </c>
      <c r="F222" s="31">
        <f t="shared" si="28"/>
        <v>8975</v>
      </c>
      <c r="H222" s="31">
        <f>SUMIFS(LinkFromRateBase!$I:$I,LinkFromRateBase!$E:$E,H$5,LinkFromRateBase!$F:$F,$D222)</f>
        <v>0</v>
      </c>
      <c r="I222" s="31">
        <f>SUMIFS(LinkFromRateBase!$I:$I,LinkFromRateBase!$E:$E,I$5,LinkFromRateBase!$F:$F,$D222)</f>
        <v>0</v>
      </c>
      <c r="J222" s="31">
        <f>SUMIFS(LinkFromRateBase!$I:$I,LinkFromRateBase!$E:$E,J$5,LinkFromRateBase!$F:$F,$D222)</f>
        <v>0</v>
      </c>
      <c r="K222" s="31">
        <f>SUMIFS(LinkFromRateBase!$I:$I,LinkFromRateBase!$E:$E,K$5,LinkFromRateBase!$F:$F,$D222)</f>
        <v>0</v>
      </c>
      <c r="L222" s="31">
        <f>SUMIFS(LinkFromRateBase!$I:$I,LinkFromRateBase!$E:$E,L$5,LinkFromRateBase!$F:$F,$D222)</f>
        <v>0</v>
      </c>
      <c r="M222" s="31">
        <f>SUMIFS(LinkFromRateBase!$I:$I,LinkFromRateBase!$E:$E,M$5,LinkFromRateBase!$F:$F,$D222)</f>
        <v>0</v>
      </c>
      <c r="N222" s="31">
        <f>SUMIFS(LinkFromRateBase!$I:$I,LinkFromRateBase!$E:$E,N$5,LinkFromRateBase!$F:$F,$D222)</f>
        <v>0</v>
      </c>
      <c r="O222" s="31">
        <f>SUMIFS(LinkFromRateBase!$I:$I,LinkFromRateBase!$E:$E,O$5,LinkFromRateBase!$F:$F,$D222)</f>
        <v>0</v>
      </c>
      <c r="P222" s="31">
        <f>SUMIFS(LinkFromRateBase!$I:$I,LinkFromRateBase!$E:$E,P$5,LinkFromRateBase!$F:$F,$D222)</f>
        <v>0</v>
      </c>
      <c r="Q222" s="31">
        <f>SUMIFS(LinkFromRateBase!$I:$I,LinkFromRateBase!$E:$E,Q$5,LinkFromRateBase!$F:$F,$D222)</f>
        <v>0</v>
      </c>
      <c r="R222" s="31">
        <f>SUMIFS(LinkFromRateBase!$I:$I,LinkFromRateBase!$E:$E,R$5,LinkFromRateBase!$F:$F,$D222)</f>
        <v>0</v>
      </c>
      <c r="S222" s="31">
        <f>SUMIFS(LinkFromRateBase!$I:$I,LinkFromRateBase!$E:$E,S$5,LinkFromRateBase!$F:$F,$D222)</f>
        <v>0</v>
      </c>
      <c r="T222" s="31">
        <f>SUMIFS(LinkFromRateBase!$I:$I,LinkFromRateBase!$E:$E,T$5,LinkFromRateBase!$F:$F,$D222)</f>
        <v>0</v>
      </c>
      <c r="U222" s="31">
        <f>SUMIFS(LinkFromRateBase!$I:$I,LinkFromRateBase!$E:$E,U$5,LinkFromRateBase!$F:$F,$D222)</f>
        <v>8975</v>
      </c>
      <c r="V222" s="31"/>
      <c r="W222"/>
    </row>
    <row r="223" spans="2:23" x14ac:dyDescent="0.25">
      <c r="B223" s="229" t="s">
        <v>7206</v>
      </c>
      <c r="D223" s="15" t="s">
        <v>8057</v>
      </c>
      <c r="F223" s="31">
        <f t="shared" si="28"/>
        <v>0</v>
      </c>
      <c r="H223" s="31">
        <f>SUMIFS(LinkFromRateBase!$I:$I,LinkFromRateBase!$E:$E,H$5,LinkFromRateBase!$F:$F,$D223)</f>
        <v>0</v>
      </c>
      <c r="I223" s="31">
        <f>SUMIFS(LinkFromRateBase!$I:$I,LinkFromRateBase!$E:$E,I$5,LinkFromRateBase!$F:$F,$D223)</f>
        <v>0</v>
      </c>
      <c r="J223" s="31">
        <f>SUMIFS(LinkFromRateBase!$I:$I,LinkFromRateBase!$E:$E,J$5,LinkFromRateBase!$F:$F,$D223)</f>
        <v>0</v>
      </c>
      <c r="K223" s="31">
        <f>SUMIFS(LinkFromRateBase!$I:$I,LinkFromRateBase!$E:$E,K$5,LinkFromRateBase!$F:$F,$D223)</f>
        <v>0</v>
      </c>
      <c r="L223" s="31">
        <f>SUMIFS(LinkFromRateBase!$I:$I,LinkFromRateBase!$E:$E,L$5,LinkFromRateBase!$F:$F,$D223)</f>
        <v>0</v>
      </c>
      <c r="M223" s="31">
        <f>SUMIFS(LinkFromRateBase!$I:$I,LinkFromRateBase!$E:$E,M$5,LinkFromRateBase!$F:$F,$D223)</f>
        <v>0</v>
      </c>
      <c r="N223" s="31">
        <f>SUMIFS(LinkFromRateBase!$I:$I,LinkFromRateBase!$E:$E,N$5,LinkFromRateBase!$F:$F,$D223)</f>
        <v>0</v>
      </c>
      <c r="O223" s="31">
        <f>SUMIFS(LinkFromRateBase!$I:$I,LinkFromRateBase!$E:$E,O$5,LinkFromRateBase!$F:$F,$D223)</f>
        <v>0</v>
      </c>
      <c r="P223" s="31">
        <f>SUMIFS(LinkFromRateBase!$I:$I,LinkFromRateBase!$E:$E,P$5,LinkFromRateBase!$F:$F,$D223)</f>
        <v>0</v>
      </c>
      <c r="Q223" s="31">
        <f>SUMIFS(LinkFromRateBase!$I:$I,LinkFromRateBase!$E:$E,Q$5,LinkFromRateBase!$F:$F,$D223)</f>
        <v>0</v>
      </c>
      <c r="R223" s="31">
        <f>SUMIFS(LinkFromRateBase!$I:$I,LinkFromRateBase!$E:$E,R$5,LinkFromRateBase!$F:$F,$D223)</f>
        <v>0</v>
      </c>
      <c r="S223" s="31">
        <f>SUMIFS(LinkFromRateBase!$I:$I,LinkFromRateBase!$E:$E,S$5,LinkFromRateBase!$F:$F,$D223)</f>
        <v>0</v>
      </c>
      <c r="T223" s="31">
        <f>SUMIFS(LinkFromRateBase!$I:$I,LinkFromRateBase!$E:$E,T$5,LinkFromRateBase!$F:$F,$D223)</f>
        <v>0</v>
      </c>
      <c r="U223" s="31">
        <f>SUMIFS(LinkFromRateBase!$I:$I,LinkFromRateBase!$E:$E,U$5,LinkFromRateBase!$F:$F,$D223)</f>
        <v>0</v>
      </c>
      <c r="V223" s="31"/>
      <c r="W223"/>
    </row>
    <row r="224" spans="2:23" x14ac:dyDescent="0.25">
      <c r="B224" s="229" t="s">
        <v>7206</v>
      </c>
      <c r="D224" s="15" t="s">
        <v>8059</v>
      </c>
      <c r="F224" s="31">
        <f t="shared" si="28"/>
        <v>624</v>
      </c>
      <c r="H224" s="31">
        <f>SUMIFS(LinkFromRateBase!$I:$I,LinkFromRateBase!$E:$E,H$5,LinkFromRateBase!$F:$F,$D224)</f>
        <v>0</v>
      </c>
      <c r="I224" s="31">
        <f>SUMIFS(LinkFromRateBase!$I:$I,LinkFromRateBase!$E:$E,I$5,LinkFromRateBase!$F:$F,$D224)</f>
        <v>0</v>
      </c>
      <c r="J224" s="31">
        <f>SUMIFS(LinkFromRateBase!$I:$I,LinkFromRateBase!$E:$E,J$5,LinkFromRateBase!$F:$F,$D224)</f>
        <v>0</v>
      </c>
      <c r="K224" s="31">
        <f>SUMIFS(LinkFromRateBase!$I:$I,LinkFromRateBase!$E:$E,K$5,LinkFromRateBase!$F:$F,$D224)</f>
        <v>0</v>
      </c>
      <c r="L224" s="31">
        <f>SUMIFS(LinkFromRateBase!$I:$I,LinkFromRateBase!$E:$E,L$5,LinkFromRateBase!$F:$F,$D224)</f>
        <v>0</v>
      </c>
      <c r="M224" s="31">
        <f>SUMIFS(LinkFromRateBase!$I:$I,LinkFromRateBase!$E:$E,M$5,LinkFromRateBase!$F:$F,$D224)</f>
        <v>0</v>
      </c>
      <c r="N224" s="31">
        <f>SUMIFS(LinkFromRateBase!$I:$I,LinkFromRateBase!$E:$E,N$5,LinkFromRateBase!$F:$F,$D224)</f>
        <v>0</v>
      </c>
      <c r="O224" s="31">
        <f>SUMIFS(LinkFromRateBase!$I:$I,LinkFromRateBase!$E:$E,O$5,LinkFromRateBase!$F:$F,$D224)</f>
        <v>0</v>
      </c>
      <c r="P224" s="31">
        <f>SUMIFS(LinkFromRateBase!$I:$I,LinkFromRateBase!$E:$E,P$5,LinkFromRateBase!$F:$F,$D224)</f>
        <v>0</v>
      </c>
      <c r="Q224" s="31">
        <f>SUMIFS(LinkFromRateBase!$I:$I,LinkFromRateBase!$E:$E,Q$5,LinkFromRateBase!$F:$F,$D224)</f>
        <v>0</v>
      </c>
      <c r="R224" s="31">
        <f>SUMIFS(LinkFromRateBase!$I:$I,LinkFromRateBase!$E:$E,R$5,LinkFromRateBase!$F:$F,$D224)</f>
        <v>0</v>
      </c>
      <c r="S224" s="31">
        <f>SUMIFS(LinkFromRateBase!$I:$I,LinkFromRateBase!$E:$E,S$5,LinkFromRateBase!$F:$F,$D224)</f>
        <v>0</v>
      </c>
      <c r="T224" s="31">
        <f>SUMIFS(LinkFromRateBase!$I:$I,LinkFromRateBase!$E:$E,T$5,LinkFromRateBase!$F:$F,$D224)</f>
        <v>0</v>
      </c>
      <c r="U224" s="31">
        <f>SUMIFS(LinkFromRateBase!$I:$I,LinkFromRateBase!$E:$E,U$5,LinkFromRateBase!$F:$F,$D224)</f>
        <v>624</v>
      </c>
      <c r="V224" s="31"/>
      <c r="W224"/>
    </row>
    <row r="225" spans="2:23" x14ac:dyDescent="0.25">
      <c r="B225" s="229" t="s">
        <v>7206</v>
      </c>
      <c r="D225" s="15" t="s">
        <v>8061</v>
      </c>
      <c r="F225" s="31">
        <f t="shared" si="28"/>
        <v>20613</v>
      </c>
      <c r="H225" s="31">
        <f>SUMIFS(LinkFromRateBase!$I:$I,LinkFromRateBase!$E:$E,H$5,LinkFromRateBase!$F:$F,$D225)</f>
        <v>0</v>
      </c>
      <c r="I225" s="31">
        <f>SUMIFS(LinkFromRateBase!$I:$I,LinkFromRateBase!$E:$E,I$5,LinkFromRateBase!$F:$F,$D225)</f>
        <v>0</v>
      </c>
      <c r="J225" s="31">
        <f>SUMIFS(LinkFromRateBase!$I:$I,LinkFromRateBase!$E:$E,J$5,LinkFromRateBase!$F:$F,$D225)</f>
        <v>0</v>
      </c>
      <c r="K225" s="31">
        <f>SUMIFS(LinkFromRateBase!$I:$I,LinkFromRateBase!$E:$E,K$5,LinkFromRateBase!$F:$F,$D225)</f>
        <v>0</v>
      </c>
      <c r="L225" s="31">
        <f>SUMIFS(LinkFromRateBase!$I:$I,LinkFromRateBase!$E:$E,L$5,LinkFromRateBase!$F:$F,$D225)</f>
        <v>0</v>
      </c>
      <c r="M225" s="31">
        <f>SUMIFS(LinkFromRateBase!$I:$I,LinkFromRateBase!$E:$E,M$5,LinkFromRateBase!$F:$F,$D225)</f>
        <v>0</v>
      </c>
      <c r="N225" s="31">
        <f>SUMIFS(LinkFromRateBase!$I:$I,LinkFromRateBase!$E:$E,N$5,LinkFromRateBase!$F:$F,$D225)</f>
        <v>0</v>
      </c>
      <c r="O225" s="31">
        <f>SUMIFS(LinkFromRateBase!$I:$I,LinkFromRateBase!$E:$E,O$5,LinkFromRateBase!$F:$F,$D225)</f>
        <v>0</v>
      </c>
      <c r="P225" s="31">
        <f>SUMIFS(LinkFromRateBase!$I:$I,LinkFromRateBase!$E:$E,P$5,LinkFromRateBase!$F:$F,$D225)</f>
        <v>0</v>
      </c>
      <c r="Q225" s="31">
        <f>SUMIFS(LinkFromRateBase!$I:$I,LinkFromRateBase!$E:$E,Q$5,LinkFromRateBase!$F:$F,$D225)</f>
        <v>0</v>
      </c>
      <c r="R225" s="31">
        <f>SUMIFS(LinkFromRateBase!$I:$I,LinkFromRateBase!$E:$E,R$5,LinkFromRateBase!$F:$F,$D225)</f>
        <v>0</v>
      </c>
      <c r="S225" s="31">
        <f>SUMIFS(LinkFromRateBase!$I:$I,LinkFromRateBase!$E:$E,S$5,LinkFromRateBase!$F:$F,$D225)</f>
        <v>0</v>
      </c>
      <c r="T225" s="31">
        <f>SUMIFS(LinkFromRateBase!$I:$I,LinkFromRateBase!$E:$E,T$5,LinkFromRateBase!$F:$F,$D225)</f>
        <v>0</v>
      </c>
      <c r="U225" s="31">
        <f>SUMIFS(LinkFromRateBase!$I:$I,LinkFromRateBase!$E:$E,U$5,LinkFromRateBase!$F:$F,$D225)</f>
        <v>20613</v>
      </c>
      <c r="V225" s="31"/>
      <c r="W225"/>
    </row>
    <row r="226" spans="2:23" x14ac:dyDescent="0.25">
      <c r="B226" s="229" t="s">
        <v>7240</v>
      </c>
      <c r="D226" s="15" t="s">
        <v>8063</v>
      </c>
      <c r="F226" s="31">
        <f t="shared" si="28"/>
        <v>0</v>
      </c>
      <c r="H226" s="31">
        <f>SUMIFS(LinkFromRateBase!$I:$I,LinkFromRateBase!$E:$E,H$5,LinkFromRateBase!$F:$F,$D226)</f>
        <v>0</v>
      </c>
      <c r="I226" s="31">
        <f>SUMIFS(LinkFromRateBase!$I:$I,LinkFromRateBase!$E:$E,I$5,LinkFromRateBase!$F:$F,$D226)</f>
        <v>0</v>
      </c>
      <c r="J226" s="31">
        <f>SUMIFS(LinkFromRateBase!$I:$I,LinkFromRateBase!$E:$E,J$5,LinkFromRateBase!$F:$F,$D226)</f>
        <v>0</v>
      </c>
      <c r="K226" s="31">
        <f>SUMIFS(LinkFromRateBase!$I:$I,LinkFromRateBase!$E:$E,K$5,LinkFromRateBase!$F:$F,$D226)</f>
        <v>0</v>
      </c>
      <c r="L226" s="31">
        <f>SUMIFS(LinkFromRateBase!$I:$I,LinkFromRateBase!$E:$E,L$5,LinkFromRateBase!$F:$F,$D226)</f>
        <v>0</v>
      </c>
      <c r="M226" s="31">
        <f>SUMIFS(LinkFromRateBase!$I:$I,LinkFromRateBase!$E:$E,M$5,LinkFromRateBase!$F:$F,$D226)</f>
        <v>0</v>
      </c>
      <c r="N226" s="31">
        <f>SUMIFS(LinkFromRateBase!$I:$I,LinkFromRateBase!$E:$E,N$5,LinkFromRateBase!$F:$F,$D226)</f>
        <v>0</v>
      </c>
      <c r="O226" s="31">
        <f>SUMIFS(LinkFromRateBase!$I:$I,LinkFromRateBase!$E:$E,O$5,LinkFromRateBase!$F:$F,$D226)</f>
        <v>0</v>
      </c>
      <c r="P226" s="31">
        <f>SUMIFS(LinkFromRateBase!$I:$I,LinkFromRateBase!$E:$E,P$5,LinkFromRateBase!$F:$F,$D226)</f>
        <v>0</v>
      </c>
      <c r="Q226" s="31">
        <f>SUMIFS(LinkFromRateBase!$I:$I,LinkFromRateBase!$E:$E,Q$5,LinkFromRateBase!$F:$F,$D226)</f>
        <v>0</v>
      </c>
      <c r="R226" s="31">
        <f>SUMIFS(LinkFromRateBase!$I:$I,LinkFromRateBase!$E:$E,R$5,LinkFromRateBase!$F:$F,$D226)</f>
        <v>0</v>
      </c>
      <c r="S226" s="31">
        <f>SUMIFS(LinkFromRateBase!$I:$I,LinkFromRateBase!$E:$E,S$5,LinkFromRateBase!$F:$F,$D226)</f>
        <v>0</v>
      </c>
      <c r="T226" s="31">
        <f>SUMIFS(LinkFromRateBase!$I:$I,LinkFromRateBase!$E:$E,T$5,LinkFromRateBase!$F:$F,$D226)</f>
        <v>0</v>
      </c>
      <c r="U226" s="31">
        <f>SUMIFS(LinkFromRateBase!$I:$I,LinkFromRateBase!$E:$E,U$5,LinkFromRateBase!$F:$F,$D226)</f>
        <v>0</v>
      </c>
      <c r="V226" s="31"/>
      <c r="W226"/>
    </row>
    <row r="227" spans="2:23" x14ac:dyDescent="0.25">
      <c r="B227" s="229" t="s">
        <v>7248</v>
      </c>
      <c r="D227" s="15" t="s">
        <v>8065</v>
      </c>
      <c r="F227" s="31">
        <f t="shared" si="28"/>
        <v>39552</v>
      </c>
      <c r="H227" s="31">
        <f>SUMIFS(LinkFromRateBase!$I:$I,LinkFromRateBase!$E:$E,H$5,LinkFromRateBase!$F:$F,$D227)</f>
        <v>0</v>
      </c>
      <c r="I227" s="31">
        <f>SUMIFS(LinkFromRateBase!$I:$I,LinkFromRateBase!$E:$E,I$5,LinkFromRateBase!$F:$F,$D227)</f>
        <v>0</v>
      </c>
      <c r="J227" s="31">
        <f>SUMIFS(LinkFromRateBase!$I:$I,LinkFromRateBase!$E:$E,J$5,LinkFromRateBase!$F:$F,$D227)</f>
        <v>0</v>
      </c>
      <c r="K227" s="31">
        <f>SUMIFS(LinkFromRateBase!$I:$I,LinkFromRateBase!$E:$E,K$5,LinkFromRateBase!$F:$F,$D227)</f>
        <v>0</v>
      </c>
      <c r="L227" s="31">
        <f>SUMIFS(LinkFromRateBase!$I:$I,LinkFromRateBase!$E:$E,L$5,LinkFromRateBase!$F:$F,$D227)</f>
        <v>0</v>
      </c>
      <c r="M227" s="31">
        <f>SUMIFS(LinkFromRateBase!$I:$I,LinkFromRateBase!$E:$E,M$5,LinkFromRateBase!$F:$F,$D227)</f>
        <v>0</v>
      </c>
      <c r="N227" s="31">
        <f>SUMIFS(LinkFromRateBase!$I:$I,LinkFromRateBase!$E:$E,N$5,LinkFromRateBase!$F:$F,$D227)</f>
        <v>0</v>
      </c>
      <c r="O227" s="31">
        <f>SUMIFS(LinkFromRateBase!$I:$I,LinkFromRateBase!$E:$E,O$5,LinkFromRateBase!$F:$F,$D227)</f>
        <v>0</v>
      </c>
      <c r="P227" s="31">
        <f>SUMIFS(LinkFromRateBase!$I:$I,LinkFromRateBase!$E:$E,P$5,LinkFromRateBase!$F:$F,$D227)</f>
        <v>0</v>
      </c>
      <c r="Q227" s="31">
        <f>SUMIFS(LinkFromRateBase!$I:$I,LinkFromRateBase!$E:$E,Q$5,LinkFromRateBase!$F:$F,$D227)</f>
        <v>0</v>
      </c>
      <c r="R227" s="31">
        <f>SUMIFS(LinkFromRateBase!$I:$I,LinkFromRateBase!$E:$E,R$5,LinkFromRateBase!$F:$F,$D227)</f>
        <v>0</v>
      </c>
      <c r="S227" s="31">
        <f>SUMIFS(LinkFromRateBase!$I:$I,LinkFromRateBase!$E:$E,S$5,LinkFromRateBase!$F:$F,$D227)</f>
        <v>0</v>
      </c>
      <c r="T227" s="31">
        <f>SUMIFS(LinkFromRateBase!$I:$I,LinkFromRateBase!$E:$E,T$5,LinkFromRateBase!$F:$F,$D227)</f>
        <v>0</v>
      </c>
      <c r="U227" s="31">
        <f>SUMIFS(LinkFromRateBase!$I:$I,LinkFromRateBase!$E:$E,U$5,LinkFromRateBase!$F:$F,$D227)</f>
        <v>39552</v>
      </c>
      <c r="V227" s="31"/>
      <c r="W227"/>
    </row>
    <row r="228" spans="2:23" x14ac:dyDescent="0.25">
      <c r="B228" s="229" t="s">
        <v>7248</v>
      </c>
      <c r="D228" s="15" t="s">
        <v>8067</v>
      </c>
      <c r="F228" s="31">
        <f t="shared" si="28"/>
        <v>903201</v>
      </c>
      <c r="H228" s="31">
        <f>SUMIFS(LinkFromRateBase!$I:$I,LinkFromRateBase!$E:$E,H$5,LinkFromRateBase!$F:$F,$D228)</f>
        <v>0</v>
      </c>
      <c r="I228" s="31">
        <f>SUMIFS(LinkFromRateBase!$I:$I,LinkFromRateBase!$E:$E,I$5,LinkFromRateBase!$F:$F,$D228)</f>
        <v>0</v>
      </c>
      <c r="J228" s="31">
        <f>SUMIFS(LinkFromRateBase!$I:$I,LinkFromRateBase!$E:$E,J$5,LinkFromRateBase!$F:$F,$D228)</f>
        <v>0</v>
      </c>
      <c r="K228" s="31">
        <f>SUMIFS(LinkFromRateBase!$I:$I,LinkFromRateBase!$E:$E,K$5,LinkFromRateBase!$F:$F,$D228)</f>
        <v>0</v>
      </c>
      <c r="L228" s="31">
        <f>SUMIFS(LinkFromRateBase!$I:$I,LinkFromRateBase!$E:$E,L$5,LinkFromRateBase!$F:$F,$D228)</f>
        <v>0</v>
      </c>
      <c r="M228" s="31">
        <f>SUMIFS(LinkFromRateBase!$I:$I,LinkFromRateBase!$E:$E,M$5,LinkFromRateBase!$F:$F,$D228)</f>
        <v>0</v>
      </c>
      <c r="N228" s="31">
        <f>SUMIFS(LinkFromRateBase!$I:$I,LinkFromRateBase!$E:$E,N$5,LinkFromRateBase!$F:$F,$D228)</f>
        <v>0</v>
      </c>
      <c r="O228" s="31">
        <f>SUMIFS(LinkFromRateBase!$I:$I,LinkFromRateBase!$E:$E,O$5,LinkFromRateBase!$F:$F,$D228)</f>
        <v>0</v>
      </c>
      <c r="P228" s="31">
        <f>SUMIFS(LinkFromRateBase!$I:$I,LinkFromRateBase!$E:$E,P$5,LinkFromRateBase!$F:$F,$D228)</f>
        <v>0</v>
      </c>
      <c r="Q228" s="31">
        <f>SUMIFS(LinkFromRateBase!$I:$I,LinkFromRateBase!$E:$E,Q$5,LinkFromRateBase!$F:$F,$D228)</f>
        <v>0</v>
      </c>
      <c r="R228" s="31">
        <f>SUMIFS(LinkFromRateBase!$I:$I,LinkFromRateBase!$E:$E,R$5,LinkFromRateBase!$F:$F,$D228)</f>
        <v>0</v>
      </c>
      <c r="S228" s="31">
        <f>SUMIFS(LinkFromRateBase!$I:$I,LinkFromRateBase!$E:$E,S$5,LinkFromRateBase!$F:$F,$D228)</f>
        <v>0</v>
      </c>
      <c r="T228" s="31">
        <f>SUMIFS(LinkFromRateBase!$I:$I,LinkFromRateBase!$E:$E,T$5,LinkFromRateBase!$F:$F,$D228)</f>
        <v>0</v>
      </c>
      <c r="U228" s="31">
        <f>SUMIFS(LinkFromRateBase!$I:$I,LinkFromRateBase!$E:$E,U$5,LinkFromRateBase!$F:$F,$D228)</f>
        <v>903201</v>
      </c>
      <c r="V228" s="31"/>
      <c r="W228"/>
    </row>
    <row r="229" spans="2:23" x14ac:dyDescent="0.25">
      <c r="B229" s="229" t="s">
        <v>7248</v>
      </c>
      <c r="D229" s="15" t="s">
        <v>8069</v>
      </c>
      <c r="F229" s="31">
        <f t="shared" si="28"/>
        <v>1113184</v>
      </c>
      <c r="H229" s="31">
        <f>SUMIFS(LinkFromRateBase!$I:$I,LinkFromRateBase!$E:$E,H$5,LinkFromRateBase!$F:$F,$D229)</f>
        <v>0</v>
      </c>
      <c r="I229" s="31">
        <f>SUMIFS(LinkFromRateBase!$I:$I,LinkFromRateBase!$E:$E,I$5,LinkFromRateBase!$F:$F,$D229)</f>
        <v>0</v>
      </c>
      <c r="J229" s="31">
        <f>SUMIFS(LinkFromRateBase!$I:$I,LinkFromRateBase!$E:$E,J$5,LinkFromRateBase!$F:$F,$D229)</f>
        <v>0</v>
      </c>
      <c r="K229" s="31">
        <f>SUMIFS(LinkFromRateBase!$I:$I,LinkFromRateBase!$E:$E,K$5,LinkFromRateBase!$F:$F,$D229)</f>
        <v>0</v>
      </c>
      <c r="L229" s="31">
        <f>SUMIFS(LinkFromRateBase!$I:$I,LinkFromRateBase!$E:$E,L$5,LinkFromRateBase!$F:$F,$D229)</f>
        <v>0</v>
      </c>
      <c r="M229" s="31">
        <f>SUMIFS(LinkFromRateBase!$I:$I,LinkFromRateBase!$E:$E,M$5,LinkFromRateBase!$F:$F,$D229)</f>
        <v>0</v>
      </c>
      <c r="N229" s="31">
        <f>SUMIFS(LinkFromRateBase!$I:$I,LinkFromRateBase!$E:$E,N$5,LinkFromRateBase!$F:$F,$D229)</f>
        <v>0</v>
      </c>
      <c r="O229" s="31">
        <f>SUMIFS(LinkFromRateBase!$I:$I,LinkFromRateBase!$E:$E,O$5,LinkFromRateBase!$F:$F,$D229)</f>
        <v>0</v>
      </c>
      <c r="P229" s="31">
        <f>SUMIFS(LinkFromRateBase!$I:$I,LinkFromRateBase!$E:$E,P$5,LinkFromRateBase!$F:$F,$D229)</f>
        <v>0</v>
      </c>
      <c r="Q229" s="31">
        <f>SUMIFS(LinkFromRateBase!$I:$I,LinkFromRateBase!$E:$E,Q$5,LinkFromRateBase!$F:$F,$D229)</f>
        <v>0</v>
      </c>
      <c r="R229" s="31">
        <f>SUMIFS(LinkFromRateBase!$I:$I,LinkFromRateBase!$E:$E,R$5,LinkFromRateBase!$F:$F,$D229)</f>
        <v>0</v>
      </c>
      <c r="S229" s="31">
        <f>SUMIFS(LinkFromRateBase!$I:$I,LinkFromRateBase!$E:$E,S$5,LinkFromRateBase!$F:$F,$D229)</f>
        <v>0</v>
      </c>
      <c r="T229" s="31">
        <f>SUMIFS(LinkFromRateBase!$I:$I,LinkFromRateBase!$E:$E,T$5,LinkFromRateBase!$F:$F,$D229)</f>
        <v>0</v>
      </c>
      <c r="U229" s="31">
        <f>SUMIFS(LinkFromRateBase!$I:$I,LinkFromRateBase!$E:$E,U$5,LinkFromRateBase!$F:$F,$D229)</f>
        <v>1113184</v>
      </c>
      <c r="V229" s="31"/>
      <c r="W229"/>
    </row>
    <row r="230" spans="2:23" x14ac:dyDescent="0.25">
      <c r="B230" s="229" t="s">
        <v>7248</v>
      </c>
      <c r="D230" s="15" t="s">
        <v>8071</v>
      </c>
      <c r="F230" s="31">
        <f t="shared" si="28"/>
        <v>0</v>
      </c>
      <c r="H230" s="31">
        <f>SUMIFS(LinkFromRateBase!$I:$I,LinkFromRateBase!$E:$E,H$5,LinkFromRateBase!$F:$F,$D230)</f>
        <v>0</v>
      </c>
      <c r="I230" s="31">
        <f>SUMIFS(LinkFromRateBase!$I:$I,LinkFromRateBase!$E:$E,I$5,LinkFromRateBase!$F:$F,$D230)</f>
        <v>0</v>
      </c>
      <c r="J230" s="31">
        <f>SUMIFS(LinkFromRateBase!$I:$I,LinkFromRateBase!$E:$E,J$5,LinkFromRateBase!$F:$F,$D230)</f>
        <v>0</v>
      </c>
      <c r="K230" s="31">
        <f>SUMIFS(LinkFromRateBase!$I:$I,LinkFromRateBase!$E:$E,K$5,LinkFromRateBase!$F:$F,$D230)</f>
        <v>0</v>
      </c>
      <c r="L230" s="31">
        <f>SUMIFS(LinkFromRateBase!$I:$I,LinkFromRateBase!$E:$E,L$5,LinkFromRateBase!$F:$F,$D230)</f>
        <v>0</v>
      </c>
      <c r="M230" s="31">
        <f>SUMIFS(LinkFromRateBase!$I:$I,LinkFromRateBase!$E:$E,M$5,LinkFromRateBase!$F:$F,$D230)</f>
        <v>0</v>
      </c>
      <c r="N230" s="31">
        <f>SUMIFS(LinkFromRateBase!$I:$I,LinkFromRateBase!$E:$E,N$5,LinkFromRateBase!$F:$F,$D230)</f>
        <v>0</v>
      </c>
      <c r="O230" s="31">
        <f>SUMIFS(LinkFromRateBase!$I:$I,LinkFromRateBase!$E:$E,O$5,LinkFromRateBase!$F:$F,$D230)</f>
        <v>0</v>
      </c>
      <c r="P230" s="31">
        <f>SUMIFS(LinkFromRateBase!$I:$I,LinkFromRateBase!$E:$E,P$5,LinkFromRateBase!$F:$F,$D230)</f>
        <v>0</v>
      </c>
      <c r="Q230" s="31">
        <f>SUMIFS(LinkFromRateBase!$I:$I,LinkFromRateBase!$E:$E,Q$5,LinkFromRateBase!$F:$F,$D230)</f>
        <v>0</v>
      </c>
      <c r="R230" s="31">
        <f>SUMIFS(LinkFromRateBase!$I:$I,LinkFromRateBase!$E:$E,R$5,LinkFromRateBase!$F:$F,$D230)</f>
        <v>0</v>
      </c>
      <c r="S230" s="31">
        <f>SUMIFS(LinkFromRateBase!$I:$I,LinkFromRateBase!$E:$E,S$5,LinkFromRateBase!$F:$F,$D230)</f>
        <v>0</v>
      </c>
      <c r="T230" s="31">
        <f>SUMIFS(LinkFromRateBase!$I:$I,LinkFromRateBase!$E:$E,T$5,LinkFromRateBase!$F:$F,$D230)</f>
        <v>0</v>
      </c>
      <c r="U230" s="31">
        <f>SUMIFS(LinkFromRateBase!$I:$I,LinkFromRateBase!$E:$E,U$5,LinkFromRateBase!$F:$F,$D230)</f>
        <v>0</v>
      </c>
      <c r="V230" s="31"/>
      <c r="W230"/>
    </row>
    <row r="231" spans="2:23" x14ac:dyDescent="0.25">
      <c r="B231" s="229" t="s">
        <v>7248</v>
      </c>
      <c r="D231" s="15" t="s">
        <v>8073</v>
      </c>
      <c r="F231" s="31">
        <f t="shared" si="28"/>
        <v>0</v>
      </c>
      <c r="H231" s="31">
        <f>SUMIFS(LinkFromRateBase!$I:$I,LinkFromRateBase!$E:$E,H$5,LinkFromRateBase!$F:$F,$D231)</f>
        <v>0</v>
      </c>
      <c r="I231" s="31">
        <f>SUMIFS(LinkFromRateBase!$I:$I,LinkFromRateBase!$E:$E,I$5,LinkFromRateBase!$F:$F,$D231)</f>
        <v>0</v>
      </c>
      <c r="J231" s="31">
        <f>SUMIFS(LinkFromRateBase!$I:$I,LinkFromRateBase!$E:$E,J$5,LinkFromRateBase!$F:$F,$D231)</f>
        <v>0</v>
      </c>
      <c r="K231" s="31">
        <f>SUMIFS(LinkFromRateBase!$I:$I,LinkFromRateBase!$E:$E,K$5,LinkFromRateBase!$F:$F,$D231)</f>
        <v>0</v>
      </c>
      <c r="L231" s="31">
        <f>SUMIFS(LinkFromRateBase!$I:$I,LinkFromRateBase!$E:$E,L$5,LinkFromRateBase!$F:$F,$D231)</f>
        <v>0</v>
      </c>
      <c r="M231" s="31">
        <f>SUMIFS(LinkFromRateBase!$I:$I,LinkFromRateBase!$E:$E,M$5,LinkFromRateBase!$F:$F,$D231)</f>
        <v>0</v>
      </c>
      <c r="N231" s="31">
        <f>SUMIFS(LinkFromRateBase!$I:$I,LinkFromRateBase!$E:$E,N$5,LinkFromRateBase!$F:$F,$D231)</f>
        <v>0</v>
      </c>
      <c r="O231" s="31">
        <f>SUMIFS(LinkFromRateBase!$I:$I,LinkFromRateBase!$E:$E,O$5,LinkFromRateBase!$F:$F,$D231)</f>
        <v>0</v>
      </c>
      <c r="P231" s="31">
        <f>SUMIFS(LinkFromRateBase!$I:$I,LinkFromRateBase!$E:$E,P$5,LinkFromRateBase!$F:$F,$D231)</f>
        <v>0</v>
      </c>
      <c r="Q231" s="31">
        <f>SUMIFS(LinkFromRateBase!$I:$I,LinkFromRateBase!$E:$E,Q$5,LinkFromRateBase!$F:$F,$D231)</f>
        <v>0</v>
      </c>
      <c r="R231" s="31">
        <f>SUMIFS(LinkFromRateBase!$I:$I,LinkFromRateBase!$E:$E,R$5,LinkFromRateBase!$F:$F,$D231)</f>
        <v>0</v>
      </c>
      <c r="S231" s="31">
        <f>SUMIFS(LinkFromRateBase!$I:$I,LinkFromRateBase!$E:$E,S$5,LinkFromRateBase!$F:$F,$D231)</f>
        <v>0</v>
      </c>
      <c r="T231" s="31">
        <f>SUMIFS(LinkFromRateBase!$I:$I,LinkFromRateBase!$E:$E,T$5,LinkFromRateBase!$F:$F,$D231)</f>
        <v>0</v>
      </c>
      <c r="U231" s="31">
        <f>SUMIFS(LinkFromRateBase!$I:$I,LinkFromRateBase!$E:$E,U$5,LinkFromRateBase!$F:$F,$D231)</f>
        <v>0</v>
      </c>
      <c r="V231" s="31"/>
      <c r="W231"/>
    </row>
    <row r="232" spans="2:23" x14ac:dyDescent="0.25">
      <c r="B232" s="229" t="s">
        <v>7248</v>
      </c>
      <c r="D232" s="15" t="s">
        <v>8075</v>
      </c>
      <c r="F232" s="31">
        <f t="shared" si="28"/>
        <v>345954</v>
      </c>
      <c r="H232" s="31">
        <f>SUMIFS(LinkFromRateBase!$I:$I,LinkFromRateBase!$E:$E,H$5,LinkFromRateBase!$F:$F,$D232)</f>
        <v>0</v>
      </c>
      <c r="I232" s="31">
        <f>SUMIFS(LinkFromRateBase!$I:$I,LinkFromRateBase!$E:$E,I$5,LinkFromRateBase!$F:$F,$D232)</f>
        <v>0</v>
      </c>
      <c r="J232" s="31">
        <f>SUMIFS(LinkFromRateBase!$I:$I,LinkFromRateBase!$E:$E,J$5,LinkFromRateBase!$F:$F,$D232)</f>
        <v>0</v>
      </c>
      <c r="K232" s="31">
        <f>SUMIFS(LinkFromRateBase!$I:$I,LinkFromRateBase!$E:$E,K$5,LinkFromRateBase!$F:$F,$D232)</f>
        <v>0</v>
      </c>
      <c r="L232" s="31">
        <f>SUMIFS(LinkFromRateBase!$I:$I,LinkFromRateBase!$E:$E,L$5,LinkFromRateBase!$F:$F,$D232)</f>
        <v>0</v>
      </c>
      <c r="M232" s="31">
        <f>SUMIFS(LinkFromRateBase!$I:$I,LinkFromRateBase!$E:$E,M$5,LinkFromRateBase!$F:$F,$D232)</f>
        <v>0</v>
      </c>
      <c r="N232" s="31">
        <f>SUMIFS(LinkFromRateBase!$I:$I,LinkFromRateBase!$E:$E,N$5,LinkFromRateBase!$F:$F,$D232)</f>
        <v>0</v>
      </c>
      <c r="O232" s="31">
        <f>SUMIFS(LinkFromRateBase!$I:$I,LinkFromRateBase!$E:$E,O$5,LinkFromRateBase!$F:$F,$D232)</f>
        <v>0</v>
      </c>
      <c r="P232" s="31">
        <f>SUMIFS(LinkFromRateBase!$I:$I,LinkFromRateBase!$E:$E,P$5,LinkFromRateBase!$F:$F,$D232)</f>
        <v>0</v>
      </c>
      <c r="Q232" s="31">
        <f>SUMIFS(LinkFromRateBase!$I:$I,LinkFromRateBase!$E:$E,Q$5,LinkFromRateBase!$F:$F,$D232)</f>
        <v>0</v>
      </c>
      <c r="R232" s="31">
        <f>SUMIFS(LinkFromRateBase!$I:$I,LinkFromRateBase!$E:$E,R$5,LinkFromRateBase!$F:$F,$D232)</f>
        <v>0</v>
      </c>
      <c r="S232" s="31">
        <f>SUMIFS(LinkFromRateBase!$I:$I,LinkFromRateBase!$E:$E,S$5,LinkFromRateBase!$F:$F,$D232)</f>
        <v>0</v>
      </c>
      <c r="T232" s="31">
        <f>SUMIFS(LinkFromRateBase!$I:$I,LinkFromRateBase!$E:$E,T$5,LinkFromRateBase!$F:$F,$D232)</f>
        <v>0</v>
      </c>
      <c r="U232" s="31">
        <f>SUMIFS(LinkFromRateBase!$I:$I,LinkFromRateBase!$E:$E,U$5,LinkFromRateBase!$F:$F,$D232)</f>
        <v>345954</v>
      </c>
      <c r="V232" s="31"/>
      <c r="W232"/>
    </row>
    <row r="233" spans="2:23" x14ac:dyDescent="0.25">
      <c r="B233" s="229" t="s">
        <v>7248</v>
      </c>
      <c r="D233" s="15" t="s">
        <v>8077</v>
      </c>
      <c r="F233" s="31">
        <f t="shared" si="28"/>
        <v>0</v>
      </c>
      <c r="H233" s="31">
        <f>SUMIFS(LinkFromRateBase!$I:$I,LinkFromRateBase!$E:$E,H$5,LinkFromRateBase!$F:$F,$D233)</f>
        <v>0</v>
      </c>
      <c r="I233" s="31">
        <f>SUMIFS(LinkFromRateBase!$I:$I,LinkFromRateBase!$E:$E,I$5,LinkFromRateBase!$F:$F,$D233)</f>
        <v>0</v>
      </c>
      <c r="J233" s="31">
        <f>SUMIFS(LinkFromRateBase!$I:$I,LinkFromRateBase!$E:$E,J$5,LinkFromRateBase!$F:$F,$D233)</f>
        <v>0</v>
      </c>
      <c r="K233" s="31">
        <f>SUMIFS(LinkFromRateBase!$I:$I,LinkFromRateBase!$E:$E,K$5,LinkFromRateBase!$F:$F,$D233)</f>
        <v>0</v>
      </c>
      <c r="L233" s="31">
        <f>SUMIFS(LinkFromRateBase!$I:$I,LinkFromRateBase!$E:$E,L$5,LinkFromRateBase!$F:$F,$D233)</f>
        <v>0</v>
      </c>
      <c r="M233" s="31">
        <f>SUMIFS(LinkFromRateBase!$I:$I,LinkFromRateBase!$E:$E,M$5,LinkFromRateBase!$F:$F,$D233)</f>
        <v>0</v>
      </c>
      <c r="N233" s="31">
        <f>SUMIFS(LinkFromRateBase!$I:$I,LinkFromRateBase!$E:$E,N$5,LinkFromRateBase!$F:$F,$D233)</f>
        <v>0</v>
      </c>
      <c r="O233" s="31">
        <f>SUMIFS(LinkFromRateBase!$I:$I,LinkFromRateBase!$E:$E,O$5,LinkFromRateBase!$F:$F,$D233)</f>
        <v>0</v>
      </c>
      <c r="P233" s="31">
        <f>SUMIFS(LinkFromRateBase!$I:$I,LinkFromRateBase!$E:$E,P$5,LinkFromRateBase!$F:$F,$D233)</f>
        <v>0</v>
      </c>
      <c r="Q233" s="31">
        <f>SUMIFS(LinkFromRateBase!$I:$I,LinkFromRateBase!$E:$E,Q$5,LinkFromRateBase!$F:$F,$D233)</f>
        <v>0</v>
      </c>
      <c r="R233" s="31">
        <f>SUMIFS(LinkFromRateBase!$I:$I,LinkFromRateBase!$E:$E,R$5,LinkFromRateBase!$F:$F,$D233)</f>
        <v>0</v>
      </c>
      <c r="S233" s="31">
        <f>SUMIFS(LinkFromRateBase!$I:$I,LinkFromRateBase!$E:$E,S$5,LinkFromRateBase!$F:$F,$D233)</f>
        <v>0</v>
      </c>
      <c r="T233" s="31">
        <f>SUMIFS(LinkFromRateBase!$I:$I,LinkFromRateBase!$E:$E,T$5,LinkFromRateBase!$F:$F,$D233)</f>
        <v>0</v>
      </c>
      <c r="U233" s="31">
        <f>SUMIFS(LinkFromRateBase!$I:$I,LinkFromRateBase!$E:$E,U$5,LinkFromRateBase!$F:$F,$D233)</f>
        <v>0</v>
      </c>
      <c r="V233" s="31"/>
      <c r="W233"/>
    </row>
    <row r="234" spans="2:23" x14ac:dyDescent="0.25">
      <c r="B234" s="229" t="s">
        <v>7248</v>
      </c>
      <c r="D234" s="15" t="s">
        <v>8079</v>
      </c>
      <c r="F234" s="31">
        <f t="shared" si="28"/>
        <v>25812</v>
      </c>
      <c r="H234" s="31">
        <f>SUMIFS(LinkFromRateBase!$I:$I,LinkFromRateBase!$E:$E,H$5,LinkFromRateBase!$F:$F,$D234)</f>
        <v>0</v>
      </c>
      <c r="I234" s="31">
        <f>SUMIFS(LinkFromRateBase!$I:$I,LinkFromRateBase!$E:$E,I$5,LinkFromRateBase!$F:$F,$D234)</f>
        <v>0</v>
      </c>
      <c r="J234" s="31">
        <f>SUMIFS(LinkFromRateBase!$I:$I,LinkFromRateBase!$E:$E,J$5,LinkFromRateBase!$F:$F,$D234)</f>
        <v>0</v>
      </c>
      <c r="K234" s="31">
        <f>SUMIFS(LinkFromRateBase!$I:$I,LinkFromRateBase!$E:$E,K$5,LinkFromRateBase!$F:$F,$D234)</f>
        <v>0</v>
      </c>
      <c r="L234" s="31">
        <f>SUMIFS(LinkFromRateBase!$I:$I,LinkFromRateBase!$E:$E,L$5,LinkFromRateBase!$F:$F,$D234)</f>
        <v>0</v>
      </c>
      <c r="M234" s="31">
        <f>SUMIFS(LinkFromRateBase!$I:$I,LinkFromRateBase!$E:$E,M$5,LinkFromRateBase!$F:$F,$D234)</f>
        <v>0</v>
      </c>
      <c r="N234" s="31">
        <f>SUMIFS(LinkFromRateBase!$I:$I,LinkFromRateBase!$E:$E,N$5,LinkFromRateBase!$F:$F,$D234)</f>
        <v>0</v>
      </c>
      <c r="O234" s="31">
        <f>SUMIFS(LinkFromRateBase!$I:$I,LinkFromRateBase!$E:$E,O$5,LinkFromRateBase!$F:$F,$D234)</f>
        <v>0</v>
      </c>
      <c r="P234" s="31">
        <f>SUMIFS(LinkFromRateBase!$I:$I,LinkFromRateBase!$E:$E,P$5,LinkFromRateBase!$F:$F,$D234)</f>
        <v>0</v>
      </c>
      <c r="Q234" s="31">
        <f>SUMIFS(LinkFromRateBase!$I:$I,LinkFromRateBase!$E:$E,Q$5,LinkFromRateBase!$F:$F,$D234)</f>
        <v>0</v>
      </c>
      <c r="R234" s="31">
        <f>SUMIFS(LinkFromRateBase!$I:$I,LinkFromRateBase!$E:$E,R$5,LinkFromRateBase!$F:$F,$D234)</f>
        <v>0</v>
      </c>
      <c r="S234" s="31">
        <f>SUMIFS(LinkFromRateBase!$I:$I,LinkFromRateBase!$E:$E,S$5,LinkFromRateBase!$F:$F,$D234)</f>
        <v>0</v>
      </c>
      <c r="T234" s="31">
        <f>SUMIFS(LinkFromRateBase!$I:$I,LinkFromRateBase!$E:$E,T$5,LinkFromRateBase!$F:$F,$D234)</f>
        <v>0</v>
      </c>
      <c r="U234" s="31">
        <f>SUMIFS(LinkFromRateBase!$I:$I,LinkFromRateBase!$E:$E,U$5,LinkFromRateBase!$F:$F,$D234)</f>
        <v>25812</v>
      </c>
      <c r="V234" s="31"/>
      <c r="W234"/>
    </row>
    <row r="235" spans="2:23" x14ac:dyDescent="0.25">
      <c r="B235" s="229" t="s">
        <v>7250</v>
      </c>
      <c r="D235" s="15" t="s">
        <v>8081</v>
      </c>
      <c r="F235" s="31">
        <f t="shared" si="28"/>
        <v>207929</v>
      </c>
      <c r="H235" s="31">
        <f>SUMIFS(LinkFromRateBase!$I:$I,LinkFromRateBase!$E:$E,H$5,LinkFromRateBase!$F:$F,$D235)</f>
        <v>0</v>
      </c>
      <c r="I235" s="31">
        <f>SUMIFS(LinkFromRateBase!$I:$I,LinkFromRateBase!$E:$E,I$5,LinkFromRateBase!$F:$F,$D235)</f>
        <v>0</v>
      </c>
      <c r="J235" s="31">
        <f>SUMIFS(LinkFromRateBase!$I:$I,LinkFromRateBase!$E:$E,J$5,LinkFromRateBase!$F:$F,$D235)</f>
        <v>0</v>
      </c>
      <c r="K235" s="31">
        <f>SUMIFS(LinkFromRateBase!$I:$I,LinkFromRateBase!$E:$E,K$5,LinkFromRateBase!$F:$F,$D235)</f>
        <v>0</v>
      </c>
      <c r="L235" s="31">
        <f>SUMIFS(LinkFromRateBase!$I:$I,LinkFromRateBase!$E:$E,L$5,LinkFromRateBase!$F:$F,$D235)</f>
        <v>0</v>
      </c>
      <c r="M235" s="31">
        <f>SUMIFS(LinkFromRateBase!$I:$I,LinkFromRateBase!$E:$E,M$5,LinkFromRateBase!$F:$F,$D235)</f>
        <v>0</v>
      </c>
      <c r="N235" s="31">
        <f>SUMIFS(LinkFromRateBase!$I:$I,LinkFromRateBase!$E:$E,N$5,LinkFromRateBase!$F:$F,$D235)</f>
        <v>0</v>
      </c>
      <c r="O235" s="31">
        <f>SUMIFS(LinkFromRateBase!$I:$I,LinkFromRateBase!$E:$E,O$5,LinkFromRateBase!$F:$F,$D235)</f>
        <v>0</v>
      </c>
      <c r="P235" s="31">
        <f>SUMIFS(LinkFromRateBase!$I:$I,LinkFromRateBase!$E:$E,P$5,LinkFromRateBase!$F:$F,$D235)</f>
        <v>0</v>
      </c>
      <c r="Q235" s="31">
        <f>SUMIFS(LinkFromRateBase!$I:$I,LinkFromRateBase!$E:$E,Q$5,LinkFromRateBase!$F:$F,$D235)</f>
        <v>0</v>
      </c>
      <c r="R235" s="31">
        <f>SUMIFS(LinkFromRateBase!$I:$I,LinkFromRateBase!$E:$E,R$5,LinkFromRateBase!$F:$F,$D235)</f>
        <v>0</v>
      </c>
      <c r="S235" s="31">
        <f>SUMIFS(LinkFromRateBase!$I:$I,LinkFromRateBase!$E:$E,S$5,LinkFromRateBase!$F:$F,$D235)</f>
        <v>0</v>
      </c>
      <c r="T235" s="31">
        <f>SUMIFS(LinkFromRateBase!$I:$I,LinkFromRateBase!$E:$E,T$5,LinkFromRateBase!$F:$F,$D235)</f>
        <v>0</v>
      </c>
      <c r="U235" s="31">
        <f>SUMIFS(LinkFromRateBase!$I:$I,LinkFromRateBase!$E:$E,U$5,LinkFromRateBase!$F:$F,$D235)</f>
        <v>207929</v>
      </c>
      <c r="V235" s="31"/>
      <c r="W235"/>
    </row>
    <row r="236" spans="2:23" x14ac:dyDescent="0.25">
      <c r="B236" s="229" t="s">
        <v>7250</v>
      </c>
      <c r="D236" s="15" t="s">
        <v>8083</v>
      </c>
      <c r="F236" s="31">
        <f t="shared" si="28"/>
        <v>72240</v>
      </c>
      <c r="H236" s="31">
        <f>SUMIFS(LinkFromRateBase!$I:$I,LinkFromRateBase!$E:$E,H$5,LinkFromRateBase!$F:$F,$D236)</f>
        <v>0</v>
      </c>
      <c r="I236" s="31">
        <f>SUMIFS(LinkFromRateBase!$I:$I,LinkFromRateBase!$E:$E,I$5,LinkFromRateBase!$F:$F,$D236)</f>
        <v>0</v>
      </c>
      <c r="J236" s="31">
        <f>SUMIFS(LinkFromRateBase!$I:$I,LinkFromRateBase!$E:$E,J$5,LinkFromRateBase!$F:$F,$D236)</f>
        <v>0</v>
      </c>
      <c r="K236" s="31">
        <f>SUMIFS(LinkFromRateBase!$I:$I,LinkFromRateBase!$E:$E,K$5,LinkFromRateBase!$F:$F,$D236)</f>
        <v>0</v>
      </c>
      <c r="L236" s="31">
        <f>SUMIFS(LinkFromRateBase!$I:$I,LinkFromRateBase!$E:$E,L$5,LinkFromRateBase!$F:$F,$D236)</f>
        <v>0</v>
      </c>
      <c r="M236" s="31">
        <f>SUMIFS(LinkFromRateBase!$I:$I,LinkFromRateBase!$E:$E,M$5,LinkFromRateBase!$F:$F,$D236)</f>
        <v>0</v>
      </c>
      <c r="N236" s="31">
        <f>SUMIFS(LinkFromRateBase!$I:$I,LinkFromRateBase!$E:$E,N$5,LinkFromRateBase!$F:$F,$D236)</f>
        <v>0</v>
      </c>
      <c r="O236" s="31">
        <f>SUMIFS(LinkFromRateBase!$I:$I,LinkFromRateBase!$E:$E,O$5,LinkFromRateBase!$F:$F,$D236)</f>
        <v>0</v>
      </c>
      <c r="P236" s="31">
        <f>SUMIFS(LinkFromRateBase!$I:$I,LinkFromRateBase!$E:$E,P$5,LinkFromRateBase!$F:$F,$D236)</f>
        <v>0</v>
      </c>
      <c r="Q236" s="31">
        <f>SUMIFS(LinkFromRateBase!$I:$I,LinkFromRateBase!$E:$E,Q$5,LinkFromRateBase!$F:$F,$D236)</f>
        <v>0</v>
      </c>
      <c r="R236" s="31">
        <f>SUMIFS(LinkFromRateBase!$I:$I,LinkFromRateBase!$E:$E,R$5,LinkFromRateBase!$F:$F,$D236)</f>
        <v>0</v>
      </c>
      <c r="S236" s="31">
        <f>SUMIFS(LinkFromRateBase!$I:$I,LinkFromRateBase!$E:$E,S$5,LinkFromRateBase!$F:$F,$D236)</f>
        <v>0</v>
      </c>
      <c r="T236" s="31">
        <f>SUMIFS(LinkFromRateBase!$I:$I,LinkFromRateBase!$E:$E,T$5,LinkFromRateBase!$F:$F,$D236)</f>
        <v>0</v>
      </c>
      <c r="U236" s="31">
        <f>SUMIFS(LinkFromRateBase!$I:$I,LinkFromRateBase!$E:$E,U$5,LinkFromRateBase!$F:$F,$D236)</f>
        <v>72240</v>
      </c>
      <c r="V236" s="31"/>
      <c r="W236"/>
    </row>
    <row r="237" spans="2:23" x14ac:dyDescent="0.25">
      <c r="B237" s="229" t="s">
        <v>7250</v>
      </c>
      <c r="D237" s="15" t="s">
        <v>8085</v>
      </c>
      <c r="F237" s="31">
        <f t="shared" si="28"/>
        <v>2444</v>
      </c>
      <c r="H237" s="31">
        <f>SUMIFS(LinkFromRateBase!$I:$I,LinkFromRateBase!$E:$E,H$5,LinkFromRateBase!$F:$F,$D237)</f>
        <v>0</v>
      </c>
      <c r="I237" s="31">
        <f>SUMIFS(LinkFromRateBase!$I:$I,LinkFromRateBase!$E:$E,I$5,LinkFromRateBase!$F:$F,$D237)</f>
        <v>0</v>
      </c>
      <c r="J237" s="31">
        <f>SUMIFS(LinkFromRateBase!$I:$I,LinkFromRateBase!$E:$E,J$5,LinkFromRateBase!$F:$F,$D237)</f>
        <v>0</v>
      </c>
      <c r="K237" s="31">
        <f>SUMIFS(LinkFromRateBase!$I:$I,LinkFromRateBase!$E:$E,K$5,LinkFromRateBase!$F:$F,$D237)</f>
        <v>0</v>
      </c>
      <c r="L237" s="31">
        <f>SUMIFS(LinkFromRateBase!$I:$I,LinkFromRateBase!$E:$E,L$5,LinkFromRateBase!$F:$F,$D237)</f>
        <v>0</v>
      </c>
      <c r="M237" s="31">
        <f>SUMIFS(LinkFromRateBase!$I:$I,LinkFromRateBase!$E:$E,M$5,LinkFromRateBase!$F:$F,$D237)</f>
        <v>0</v>
      </c>
      <c r="N237" s="31">
        <f>SUMIFS(LinkFromRateBase!$I:$I,LinkFromRateBase!$E:$E,N$5,LinkFromRateBase!$F:$F,$D237)</f>
        <v>0</v>
      </c>
      <c r="O237" s="31">
        <f>SUMIFS(LinkFromRateBase!$I:$I,LinkFromRateBase!$E:$E,O$5,LinkFromRateBase!$F:$F,$D237)</f>
        <v>0</v>
      </c>
      <c r="P237" s="31">
        <f>SUMIFS(LinkFromRateBase!$I:$I,LinkFromRateBase!$E:$E,P$5,LinkFromRateBase!$F:$F,$D237)</f>
        <v>0</v>
      </c>
      <c r="Q237" s="31">
        <f>SUMIFS(LinkFromRateBase!$I:$I,LinkFromRateBase!$E:$E,Q$5,LinkFromRateBase!$F:$F,$D237)</f>
        <v>0</v>
      </c>
      <c r="R237" s="31">
        <f>SUMIFS(LinkFromRateBase!$I:$I,LinkFromRateBase!$E:$E,R$5,LinkFromRateBase!$F:$F,$D237)</f>
        <v>0</v>
      </c>
      <c r="S237" s="31">
        <f>SUMIFS(LinkFromRateBase!$I:$I,LinkFromRateBase!$E:$E,S$5,LinkFromRateBase!$F:$F,$D237)</f>
        <v>0</v>
      </c>
      <c r="T237" s="31">
        <f>SUMIFS(LinkFromRateBase!$I:$I,LinkFromRateBase!$E:$E,T$5,LinkFromRateBase!$F:$F,$D237)</f>
        <v>0</v>
      </c>
      <c r="U237" s="31">
        <f>SUMIFS(LinkFromRateBase!$I:$I,LinkFromRateBase!$E:$E,U$5,LinkFromRateBase!$F:$F,$D237)</f>
        <v>2444</v>
      </c>
      <c r="V237" s="31"/>
      <c r="W237"/>
    </row>
    <row r="238" spans="2:23" x14ac:dyDescent="0.25">
      <c r="B238" s="229" t="s">
        <v>7250</v>
      </c>
      <c r="D238" s="15" t="s">
        <v>8087</v>
      </c>
      <c r="F238" s="31">
        <f t="shared" si="28"/>
        <v>17682</v>
      </c>
      <c r="H238" s="31">
        <f>SUMIFS(LinkFromRateBase!$I:$I,LinkFromRateBase!$E:$E,H$5,LinkFromRateBase!$F:$F,$D238)</f>
        <v>0</v>
      </c>
      <c r="I238" s="31">
        <f>SUMIFS(LinkFromRateBase!$I:$I,LinkFromRateBase!$E:$E,I$5,LinkFromRateBase!$F:$F,$D238)</f>
        <v>0</v>
      </c>
      <c r="J238" s="31">
        <f>SUMIFS(LinkFromRateBase!$I:$I,LinkFromRateBase!$E:$E,J$5,LinkFromRateBase!$F:$F,$D238)</f>
        <v>0</v>
      </c>
      <c r="K238" s="31">
        <f>SUMIFS(LinkFromRateBase!$I:$I,LinkFromRateBase!$E:$E,K$5,LinkFromRateBase!$F:$F,$D238)</f>
        <v>0</v>
      </c>
      <c r="L238" s="31">
        <f>SUMIFS(LinkFromRateBase!$I:$I,LinkFromRateBase!$E:$E,L$5,LinkFromRateBase!$F:$F,$D238)</f>
        <v>0</v>
      </c>
      <c r="M238" s="31">
        <f>SUMIFS(LinkFromRateBase!$I:$I,LinkFromRateBase!$E:$E,M$5,LinkFromRateBase!$F:$F,$D238)</f>
        <v>0</v>
      </c>
      <c r="N238" s="31">
        <f>SUMIFS(LinkFromRateBase!$I:$I,LinkFromRateBase!$E:$E,N$5,LinkFromRateBase!$F:$F,$D238)</f>
        <v>0</v>
      </c>
      <c r="O238" s="31">
        <f>SUMIFS(LinkFromRateBase!$I:$I,LinkFromRateBase!$E:$E,O$5,LinkFromRateBase!$F:$F,$D238)</f>
        <v>0</v>
      </c>
      <c r="P238" s="31">
        <f>SUMIFS(LinkFromRateBase!$I:$I,LinkFromRateBase!$E:$E,P$5,LinkFromRateBase!$F:$F,$D238)</f>
        <v>0</v>
      </c>
      <c r="Q238" s="31">
        <f>SUMIFS(LinkFromRateBase!$I:$I,LinkFromRateBase!$E:$E,Q$5,LinkFromRateBase!$F:$F,$D238)</f>
        <v>0</v>
      </c>
      <c r="R238" s="31">
        <f>SUMIFS(LinkFromRateBase!$I:$I,LinkFromRateBase!$E:$E,R$5,LinkFromRateBase!$F:$F,$D238)</f>
        <v>0</v>
      </c>
      <c r="S238" s="31">
        <f>SUMIFS(LinkFromRateBase!$I:$I,LinkFromRateBase!$E:$E,S$5,LinkFromRateBase!$F:$F,$D238)</f>
        <v>0</v>
      </c>
      <c r="T238" s="31">
        <f>SUMIFS(LinkFromRateBase!$I:$I,LinkFromRateBase!$E:$E,T$5,LinkFromRateBase!$F:$F,$D238)</f>
        <v>0</v>
      </c>
      <c r="U238" s="31">
        <f>SUMIFS(LinkFromRateBase!$I:$I,LinkFromRateBase!$E:$E,U$5,LinkFromRateBase!$F:$F,$D238)</f>
        <v>17682</v>
      </c>
      <c r="V238" s="31"/>
      <c r="W238"/>
    </row>
    <row r="239" spans="2:23" x14ac:dyDescent="0.25">
      <c r="B239" s="229" t="s">
        <v>7251</v>
      </c>
      <c r="D239" s="15" t="s">
        <v>8089</v>
      </c>
      <c r="F239" s="31">
        <f t="shared" si="28"/>
        <v>1006</v>
      </c>
      <c r="H239" s="31">
        <f>SUMIFS(LinkFromRateBase!$I:$I,LinkFromRateBase!$E:$E,H$5,LinkFromRateBase!$F:$F,$D239)</f>
        <v>0</v>
      </c>
      <c r="I239" s="31">
        <f>SUMIFS(LinkFromRateBase!$I:$I,LinkFromRateBase!$E:$E,I$5,LinkFromRateBase!$F:$F,$D239)</f>
        <v>0</v>
      </c>
      <c r="J239" s="31">
        <f>SUMIFS(LinkFromRateBase!$I:$I,LinkFromRateBase!$E:$E,J$5,LinkFromRateBase!$F:$F,$D239)</f>
        <v>0</v>
      </c>
      <c r="K239" s="31">
        <f>SUMIFS(LinkFromRateBase!$I:$I,LinkFromRateBase!$E:$E,K$5,LinkFromRateBase!$F:$F,$D239)</f>
        <v>0</v>
      </c>
      <c r="L239" s="31">
        <f>SUMIFS(LinkFromRateBase!$I:$I,LinkFromRateBase!$E:$E,L$5,LinkFromRateBase!$F:$F,$D239)</f>
        <v>0</v>
      </c>
      <c r="M239" s="31">
        <f>SUMIFS(LinkFromRateBase!$I:$I,LinkFromRateBase!$E:$E,M$5,LinkFromRateBase!$F:$F,$D239)</f>
        <v>0</v>
      </c>
      <c r="N239" s="31">
        <f>SUMIFS(LinkFromRateBase!$I:$I,LinkFromRateBase!$E:$E,N$5,LinkFromRateBase!$F:$F,$D239)</f>
        <v>0</v>
      </c>
      <c r="O239" s="31">
        <f>SUMIFS(LinkFromRateBase!$I:$I,LinkFromRateBase!$E:$E,O$5,LinkFromRateBase!$F:$F,$D239)</f>
        <v>0</v>
      </c>
      <c r="P239" s="31">
        <f>SUMIFS(LinkFromRateBase!$I:$I,LinkFromRateBase!$E:$E,P$5,LinkFromRateBase!$F:$F,$D239)</f>
        <v>0</v>
      </c>
      <c r="Q239" s="31">
        <f>SUMIFS(LinkFromRateBase!$I:$I,LinkFromRateBase!$E:$E,Q$5,LinkFromRateBase!$F:$F,$D239)</f>
        <v>0</v>
      </c>
      <c r="R239" s="31">
        <f>SUMIFS(LinkFromRateBase!$I:$I,LinkFromRateBase!$E:$E,R$5,LinkFromRateBase!$F:$F,$D239)</f>
        <v>0</v>
      </c>
      <c r="S239" s="31">
        <f>SUMIFS(LinkFromRateBase!$I:$I,LinkFromRateBase!$E:$E,S$5,LinkFromRateBase!$F:$F,$D239)</f>
        <v>0</v>
      </c>
      <c r="T239" s="31">
        <f>SUMIFS(LinkFromRateBase!$I:$I,LinkFromRateBase!$E:$E,T$5,LinkFromRateBase!$F:$F,$D239)</f>
        <v>0</v>
      </c>
      <c r="U239" s="31">
        <f>SUMIFS(LinkFromRateBase!$I:$I,LinkFromRateBase!$E:$E,U$5,LinkFromRateBase!$F:$F,$D239)</f>
        <v>1006</v>
      </c>
      <c r="V239" s="31"/>
      <c r="W239"/>
    </row>
    <row r="240" spans="2:23" x14ac:dyDescent="0.25">
      <c r="B240" s="229" t="s">
        <v>7253</v>
      </c>
      <c r="D240" s="15" t="s">
        <v>8091</v>
      </c>
      <c r="F240" s="31">
        <f t="shared" si="28"/>
        <v>57940</v>
      </c>
      <c r="H240" s="31">
        <f>SUMIFS(LinkFromRateBase!$I:$I,LinkFromRateBase!$E:$E,H$5,LinkFromRateBase!$F:$F,$D240)</f>
        <v>0</v>
      </c>
      <c r="I240" s="31">
        <f>SUMIFS(LinkFromRateBase!$I:$I,LinkFromRateBase!$E:$E,I$5,LinkFromRateBase!$F:$F,$D240)</f>
        <v>0</v>
      </c>
      <c r="J240" s="31">
        <f>SUMIFS(LinkFromRateBase!$I:$I,LinkFromRateBase!$E:$E,J$5,LinkFromRateBase!$F:$F,$D240)</f>
        <v>0</v>
      </c>
      <c r="K240" s="31">
        <f>SUMIFS(LinkFromRateBase!$I:$I,LinkFromRateBase!$E:$E,K$5,LinkFromRateBase!$F:$F,$D240)</f>
        <v>0</v>
      </c>
      <c r="L240" s="31">
        <f>SUMIFS(LinkFromRateBase!$I:$I,LinkFromRateBase!$E:$E,L$5,LinkFromRateBase!$F:$F,$D240)</f>
        <v>0</v>
      </c>
      <c r="M240" s="31">
        <f>SUMIFS(LinkFromRateBase!$I:$I,LinkFromRateBase!$E:$E,M$5,LinkFromRateBase!$F:$F,$D240)</f>
        <v>0</v>
      </c>
      <c r="N240" s="31">
        <f>SUMIFS(LinkFromRateBase!$I:$I,LinkFromRateBase!$E:$E,N$5,LinkFromRateBase!$F:$F,$D240)</f>
        <v>0</v>
      </c>
      <c r="O240" s="31">
        <f>SUMIFS(LinkFromRateBase!$I:$I,LinkFromRateBase!$E:$E,O$5,LinkFromRateBase!$F:$F,$D240)</f>
        <v>0</v>
      </c>
      <c r="P240" s="31">
        <f>SUMIFS(LinkFromRateBase!$I:$I,LinkFromRateBase!$E:$E,P$5,LinkFromRateBase!$F:$F,$D240)</f>
        <v>0</v>
      </c>
      <c r="Q240" s="31">
        <f>SUMIFS(LinkFromRateBase!$I:$I,LinkFromRateBase!$E:$E,Q$5,LinkFromRateBase!$F:$F,$D240)</f>
        <v>0</v>
      </c>
      <c r="R240" s="31">
        <f>SUMIFS(LinkFromRateBase!$I:$I,LinkFromRateBase!$E:$E,R$5,LinkFromRateBase!$F:$F,$D240)</f>
        <v>0</v>
      </c>
      <c r="S240" s="31">
        <f>SUMIFS(LinkFromRateBase!$I:$I,LinkFromRateBase!$E:$E,S$5,LinkFromRateBase!$F:$F,$D240)</f>
        <v>0</v>
      </c>
      <c r="T240" s="31">
        <f>SUMIFS(LinkFromRateBase!$I:$I,LinkFromRateBase!$E:$E,T$5,LinkFromRateBase!$F:$F,$D240)</f>
        <v>0</v>
      </c>
      <c r="U240" s="31">
        <f>SUMIFS(LinkFromRateBase!$I:$I,LinkFromRateBase!$E:$E,U$5,LinkFromRateBase!$F:$F,$D240)</f>
        <v>57940</v>
      </c>
      <c r="V240" s="31"/>
      <c r="W240"/>
    </row>
    <row r="241" spans="2:23" x14ac:dyDescent="0.25">
      <c r="B241" s="229" t="s">
        <v>7254</v>
      </c>
      <c r="D241" s="15" t="s">
        <v>8093</v>
      </c>
      <c r="F241" s="31">
        <f t="shared" si="28"/>
        <v>6825</v>
      </c>
      <c r="H241" s="31">
        <f>SUMIFS(LinkFromRateBase!$I:$I,LinkFromRateBase!$E:$E,H$5,LinkFromRateBase!$F:$F,$D241)</f>
        <v>0</v>
      </c>
      <c r="I241" s="31">
        <f>SUMIFS(LinkFromRateBase!$I:$I,LinkFromRateBase!$E:$E,I$5,LinkFromRateBase!$F:$F,$D241)</f>
        <v>0</v>
      </c>
      <c r="J241" s="31">
        <f>SUMIFS(LinkFromRateBase!$I:$I,LinkFromRateBase!$E:$E,J$5,LinkFromRateBase!$F:$F,$D241)</f>
        <v>0</v>
      </c>
      <c r="K241" s="31">
        <f>SUMIFS(LinkFromRateBase!$I:$I,LinkFromRateBase!$E:$E,K$5,LinkFromRateBase!$F:$F,$D241)</f>
        <v>0</v>
      </c>
      <c r="L241" s="31">
        <f>SUMIFS(LinkFromRateBase!$I:$I,LinkFromRateBase!$E:$E,L$5,LinkFromRateBase!$F:$F,$D241)</f>
        <v>0</v>
      </c>
      <c r="M241" s="31">
        <f>SUMIFS(LinkFromRateBase!$I:$I,LinkFromRateBase!$E:$E,M$5,LinkFromRateBase!$F:$F,$D241)</f>
        <v>0</v>
      </c>
      <c r="N241" s="31">
        <f>SUMIFS(LinkFromRateBase!$I:$I,LinkFromRateBase!$E:$E,N$5,LinkFromRateBase!$F:$F,$D241)</f>
        <v>0</v>
      </c>
      <c r="O241" s="31">
        <f>SUMIFS(LinkFromRateBase!$I:$I,LinkFromRateBase!$E:$E,O$5,LinkFromRateBase!$F:$F,$D241)</f>
        <v>0</v>
      </c>
      <c r="P241" s="31">
        <f>SUMIFS(LinkFromRateBase!$I:$I,LinkFromRateBase!$E:$E,P$5,LinkFromRateBase!$F:$F,$D241)</f>
        <v>0</v>
      </c>
      <c r="Q241" s="31">
        <f>SUMIFS(LinkFromRateBase!$I:$I,LinkFromRateBase!$E:$E,Q$5,LinkFromRateBase!$F:$F,$D241)</f>
        <v>0</v>
      </c>
      <c r="R241" s="31">
        <f>SUMIFS(LinkFromRateBase!$I:$I,LinkFromRateBase!$E:$E,R$5,LinkFromRateBase!$F:$F,$D241)</f>
        <v>0</v>
      </c>
      <c r="S241" s="31">
        <f>SUMIFS(LinkFromRateBase!$I:$I,LinkFromRateBase!$E:$E,S$5,LinkFromRateBase!$F:$F,$D241)</f>
        <v>0</v>
      </c>
      <c r="T241" s="31">
        <f>SUMIFS(LinkFromRateBase!$I:$I,LinkFromRateBase!$E:$E,T$5,LinkFromRateBase!$F:$F,$D241)</f>
        <v>0</v>
      </c>
      <c r="U241" s="31">
        <f>SUMIFS(LinkFromRateBase!$I:$I,LinkFromRateBase!$E:$E,U$5,LinkFromRateBase!$F:$F,$D241)</f>
        <v>6825</v>
      </c>
      <c r="V241" s="31"/>
      <c r="W241"/>
    </row>
    <row r="242" spans="2:23" x14ac:dyDescent="0.25">
      <c r="B242" s="229" t="s">
        <v>7255</v>
      </c>
      <c r="D242" s="15" t="s">
        <v>8095</v>
      </c>
      <c r="F242" s="31">
        <f t="shared" si="28"/>
        <v>19176</v>
      </c>
      <c r="H242" s="31">
        <f>SUMIFS(LinkFromRateBase!$I:$I,LinkFromRateBase!$E:$E,H$5,LinkFromRateBase!$F:$F,$D242)</f>
        <v>0</v>
      </c>
      <c r="I242" s="31">
        <f>SUMIFS(LinkFromRateBase!$I:$I,LinkFromRateBase!$E:$E,I$5,LinkFromRateBase!$F:$F,$D242)</f>
        <v>0</v>
      </c>
      <c r="J242" s="31">
        <f>SUMIFS(LinkFromRateBase!$I:$I,LinkFromRateBase!$E:$E,J$5,LinkFromRateBase!$F:$F,$D242)</f>
        <v>0</v>
      </c>
      <c r="K242" s="31">
        <f>SUMIFS(LinkFromRateBase!$I:$I,LinkFromRateBase!$E:$E,K$5,LinkFromRateBase!$F:$F,$D242)</f>
        <v>0</v>
      </c>
      <c r="L242" s="31">
        <f>SUMIFS(LinkFromRateBase!$I:$I,LinkFromRateBase!$E:$E,L$5,LinkFromRateBase!$F:$F,$D242)</f>
        <v>0</v>
      </c>
      <c r="M242" s="31">
        <f>SUMIFS(LinkFromRateBase!$I:$I,LinkFromRateBase!$E:$E,M$5,LinkFromRateBase!$F:$F,$D242)</f>
        <v>0</v>
      </c>
      <c r="N242" s="31">
        <f>SUMIFS(LinkFromRateBase!$I:$I,LinkFromRateBase!$E:$E,N$5,LinkFromRateBase!$F:$F,$D242)</f>
        <v>0</v>
      </c>
      <c r="O242" s="31">
        <f>SUMIFS(LinkFromRateBase!$I:$I,LinkFromRateBase!$E:$E,O$5,LinkFromRateBase!$F:$F,$D242)</f>
        <v>0</v>
      </c>
      <c r="P242" s="31">
        <f>SUMIFS(LinkFromRateBase!$I:$I,LinkFromRateBase!$E:$E,P$5,LinkFromRateBase!$F:$F,$D242)</f>
        <v>0</v>
      </c>
      <c r="Q242" s="31">
        <f>SUMIFS(LinkFromRateBase!$I:$I,LinkFromRateBase!$E:$E,Q$5,LinkFromRateBase!$F:$F,$D242)</f>
        <v>0</v>
      </c>
      <c r="R242" s="31">
        <f>SUMIFS(LinkFromRateBase!$I:$I,LinkFromRateBase!$E:$E,R$5,LinkFromRateBase!$F:$F,$D242)</f>
        <v>0</v>
      </c>
      <c r="S242" s="31">
        <f>SUMIFS(LinkFromRateBase!$I:$I,LinkFromRateBase!$E:$E,S$5,LinkFromRateBase!$F:$F,$D242)</f>
        <v>0</v>
      </c>
      <c r="T242" s="31">
        <f>SUMIFS(LinkFromRateBase!$I:$I,LinkFromRateBase!$E:$E,T$5,LinkFromRateBase!$F:$F,$D242)</f>
        <v>0</v>
      </c>
      <c r="U242" s="31">
        <f>SUMIFS(LinkFromRateBase!$I:$I,LinkFromRateBase!$E:$E,U$5,LinkFromRateBase!$F:$F,$D242)</f>
        <v>19176</v>
      </c>
      <c r="V242" s="31"/>
      <c r="W242"/>
    </row>
    <row r="243" spans="2:23" x14ac:dyDescent="0.25">
      <c r="B243" s="229" t="s">
        <v>7257</v>
      </c>
      <c r="D243" s="15" t="s">
        <v>8097</v>
      </c>
      <c r="F243" s="31">
        <f t="shared" si="28"/>
        <v>19777</v>
      </c>
      <c r="H243" s="31">
        <f>SUMIFS(LinkFromRateBase!$I:$I,LinkFromRateBase!$E:$E,H$5,LinkFromRateBase!$F:$F,$D243)</f>
        <v>0</v>
      </c>
      <c r="I243" s="31">
        <f>SUMIFS(LinkFromRateBase!$I:$I,LinkFromRateBase!$E:$E,I$5,LinkFromRateBase!$F:$F,$D243)</f>
        <v>0</v>
      </c>
      <c r="J243" s="31">
        <f>SUMIFS(LinkFromRateBase!$I:$I,LinkFromRateBase!$E:$E,J$5,LinkFromRateBase!$F:$F,$D243)</f>
        <v>0</v>
      </c>
      <c r="K243" s="31">
        <f>SUMIFS(LinkFromRateBase!$I:$I,LinkFromRateBase!$E:$E,K$5,LinkFromRateBase!$F:$F,$D243)</f>
        <v>0</v>
      </c>
      <c r="L243" s="31">
        <f>SUMIFS(LinkFromRateBase!$I:$I,LinkFromRateBase!$E:$E,L$5,LinkFromRateBase!$F:$F,$D243)</f>
        <v>0</v>
      </c>
      <c r="M243" s="31">
        <f>SUMIFS(LinkFromRateBase!$I:$I,LinkFromRateBase!$E:$E,M$5,LinkFromRateBase!$F:$F,$D243)</f>
        <v>0</v>
      </c>
      <c r="N243" s="31">
        <f>SUMIFS(LinkFromRateBase!$I:$I,LinkFromRateBase!$E:$E,N$5,LinkFromRateBase!$F:$F,$D243)</f>
        <v>0</v>
      </c>
      <c r="O243" s="31">
        <f>SUMIFS(LinkFromRateBase!$I:$I,LinkFromRateBase!$E:$E,O$5,LinkFromRateBase!$F:$F,$D243)</f>
        <v>0</v>
      </c>
      <c r="P243" s="31">
        <f>SUMIFS(LinkFromRateBase!$I:$I,LinkFromRateBase!$E:$E,P$5,LinkFromRateBase!$F:$F,$D243)</f>
        <v>0</v>
      </c>
      <c r="Q243" s="31">
        <f>SUMIFS(LinkFromRateBase!$I:$I,LinkFromRateBase!$E:$E,Q$5,LinkFromRateBase!$F:$F,$D243)</f>
        <v>0</v>
      </c>
      <c r="R243" s="31">
        <f>SUMIFS(LinkFromRateBase!$I:$I,LinkFromRateBase!$E:$E,R$5,LinkFromRateBase!$F:$F,$D243)</f>
        <v>0</v>
      </c>
      <c r="S243" s="31">
        <f>SUMIFS(LinkFromRateBase!$I:$I,LinkFromRateBase!$E:$E,S$5,LinkFromRateBase!$F:$F,$D243)</f>
        <v>0</v>
      </c>
      <c r="T243" s="31">
        <f>SUMIFS(LinkFromRateBase!$I:$I,LinkFromRateBase!$E:$E,T$5,LinkFromRateBase!$F:$F,$D243)</f>
        <v>0</v>
      </c>
      <c r="U243" s="31">
        <f>SUMIFS(LinkFromRateBase!$I:$I,LinkFromRateBase!$E:$E,U$5,LinkFromRateBase!$F:$F,$D243)</f>
        <v>19777</v>
      </c>
      <c r="V243" s="31"/>
      <c r="W243"/>
    </row>
    <row r="244" spans="2:23" x14ac:dyDescent="0.25">
      <c r="B244" s="229" t="s">
        <v>7257</v>
      </c>
      <c r="D244" s="15" t="s">
        <v>8099</v>
      </c>
      <c r="F244" s="31">
        <f t="shared" si="28"/>
        <v>115427</v>
      </c>
      <c r="H244" s="31">
        <f>SUMIFS(LinkFromRateBase!$I:$I,LinkFromRateBase!$E:$E,H$5,LinkFromRateBase!$F:$F,$D244)</f>
        <v>0</v>
      </c>
      <c r="I244" s="31">
        <f>SUMIFS(LinkFromRateBase!$I:$I,LinkFromRateBase!$E:$E,I$5,LinkFromRateBase!$F:$F,$D244)</f>
        <v>0</v>
      </c>
      <c r="J244" s="31">
        <f>SUMIFS(LinkFromRateBase!$I:$I,LinkFromRateBase!$E:$E,J$5,LinkFromRateBase!$F:$F,$D244)</f>
        <v>0</v>
      </c>
      <c r="K244" s="31">
        <f>SUMIFS(LinkFromRateBase!$I:$I,LinkFromRateBase!$E:$E,K$5,LinkFromRateBase!$F:$F,$D244)</f>
        <v>0</v>
      </c>
      <c r="L244" s="31">
        <f>SUMIFS(LinkFromRateBase!$I:$I,LinkFromRateBase!$E:$E,L$5,LinkFromRateBase!$F:$F,$D244)</f>
        <v>0</v>
      </c>
      <c r="M244" s="31">
        <f>SUMIFS(LinkFromRateBase!$I:$I,LinkFromRateBase!$E:$E,M$5,LinkFromRateBase!$F:$F,$D244)</f>
        <v>0</v>
      </c>
      <c r="N244" s="31">
        <f>SUMIFS(LinkFromRateBase!$I:$I,LinkFromRateBase!$E:$E,N$5,LinkFromRateBase!$F:$F,$D244)</f>
        <v>0</v>
      </c>
      <c r="O244" s="31">
        <f>SUMIFS(LinkFromRateBase!$I:$I,LinkFromRateBase!$E:$E,O$5,LinkFromRateBase!$F:$F,$D244)</f>
        <v>0</v>
      </c>
      <c r="P244" s="31">
        <f>SUMIFS(LinkFromRateBase!$I:$I,LinkFromRateBase!$E:$E,P$5,LinkFromRateBase!$F:$F,$D244)</f>
        <v>0</v>
      </c>
      <c r="Q244" s="31">
        <f>SUMIFS(LinkFromRateBase!$I:$I,LinkFromRateBase!$E:$E,Q$5,LinkFromRateBase!$F:$F,$D244)</f>
        <v>0</v>
      </c>
      <c r="R244" s="31">
        <f>SUMIFS(LinkFromRateBase!$I:$I,LinkFromRateBase!$E:$E,R$5,LinkFromRateBase!$F:$F,$D244)</f>
        <v>0</v>
      </c>
      <c r="S244" s="31">
        <f>SUMIFS(LinkFromRateBase!$I:$I,LinkFromRateBase!$E:$E,S$5,LinkFromRateBase!$F:$F,$D244)</f>
        <v>0</v>
      </c>
      <c r="T244" s="31">
        <f>SUMIFS(LinkFromRateBase!$I:$I,LinkFromRateBase!$E:$E,T$5,LinkFromRateBase!$F:$F,$D244)</f>
        <v>0</v>
      </c>
      <c r="U244" s="31">
        <f>SUMIFS(LinkFromRateBase!$I:$I,LinkFromRateBase!$E:$E,U$5,LinkFromRateBase!$F:$F,$D244)</f>
        <v>115427</v>
      </c>
      <c r="V244" s="31"/>
      <c r="W244"/>
    </row>
    <row r="245" spans="2:23" x14ac:dyDescent="0.25">
      <c r="B245" s="229" t="s">
        <v>7257</v>
      </c>
      <c r="D245" s="15" t="s">
        <v>8101</v>
      </c>
      <c r="F245" s="31">
        <f t="shared" si="28"/>
        <v>1830</v>
      </c>
      <c r="H245" s="31">
        <f>SUMIFS(LinkFromRateBase!$I:$I,LinkFromRateBase!$E:$E,H$5,LinkFromRateBase!$F:$F,$D245)</f>
        <v>0</v>
      </c>
      <c r="I245" s="31">
        <f>SUMIFS(LinkFromRateBase!$I:$I,LinkFromRateBase!$E:$E,I$5,LinkFromRateBase!$F:$F,$D245)</f>
        <v>0</v>
      </c>
      <c r="J245" s="31">
        <f>SUMIFS(LinkFromRateBase!$I:$I,LinkFromRateBase!$E:$E,J$5,LinkFromRateBase!$F:$F,$D245)</f>
        <v>0</v>
      </c>
      <c r="K245" s="31">
        <f>SUMIFS(LinkFromRateBase!$I:$I,LinkFromRateBase!$E:$E,K$5,LinkFromRateBase!$F:$F,$D245)</f>
        <v>0</v>
      </c>
      <c r="L245" s="31">
        <f>SUMIFS(LinkFromRateBase!$I:$I,LinkFromRateBase!$E:$E,L$5,LinkFromRateBase!$F:$F,$D245)</f>
        <v>0</v>
      </c>
      <c r="M245" s="31">
        <f>SUMIFS(LinkFromRateBase!$I:$I,LinkFromRateBase!$E:$E,M$5,LinkFromRateBase!$F:$F,$D245)</f>
        <v>0</v>
      </c>
      <c r="N245" s="31">
        <f>SUMIFS(LinkFromRateBase!$I:$I,LinkFromRateBase!$E:$E,N$5,LinkFromRateBase!$F:$F,$D245)</f>
        <v>0</v>
      </c>
      <c r="O245" s="31">
        <f>SUMIFS(LinkFromRateBase!$I:$I,LinkFromRateBase!$E:$E,O$5,LinkFromRateBase!$F:$F,$D245)</f>
        <v>0</v>
      </c>
      <c r="P245" s="31">
        <f>SUMIFS(LinkFromRateBase!$I:$I,LinkFromRateBase!$E:$E,P$5,LinkFromRateBase!$F:$F,$D245)</f>
        <v>0</v>
      </c>
      <c r="Q245" s="31">
        <f>SUMIFS(LinkFromRateBase!$I:$I,LinkFromRateBase!$E:$E,Q$5,LinkFromRateBase!$F:$F,$D245)</f>
        <v>0</v>
      </c>
      <c r="R245" s="31">
        <f>SUMIFS(LinkFromRateBase!$I:$I,LinkFromRateBase!$E:$E,R$5,LinkFromRateBase!$F:$F,$D245)</f>
        <v>0</v>
      </c>
      <c r="S245" s="31">
        <f>SUMIFS(LinkFromRateBase!$I:$I,LinkFromRateBase!$E:$E,S$5,LinkFromRateBase!$F:$F,$D245)</f>
        <v>0</v>
      </c>
      <c r="T245" s="31">
        <f>SUMIFS(LinkFromRateBase!$I:$I,LinkFromRateBase!$E:$E,T$5,LinkFromRateBase!$F:$F,$D245)</f>
        <v>0</v>
      </c>
      <c r="U245" s="31">
        <f>SUMIFS(LinkFromRateBase!$I:$I,LinkFromRateBase!$E:$E,U$5,LinkFromRateBase!$F:$F,$D245)</f>
        <v>1830</v>
      </c>
      <c r="V245" s="31"/>
      <c r="W245"/>
    </row>
    <row r="246" spans="2:23" x14ac:dyDescent="0.25">
      <c r="B246" s="229" t="s">
        <v>7258</v>
      </c>
      <c r="D246" s="15" t="s">
        <v>8103</v>
      </c>
      <c r="F246" s="31">
        <f t="shared" si="28"/>
        <v>73893</v>
      </c>
      <c r="H246" s="31">
        <f>SUMIFS(LinkFromRateBase!$I:$I,LinkFromRateBase!$E:$E,H$5,LinkFromRateBase!$F:$F,$D246)</f>
        <v>0</v>
      </c>
      <c r="I246" s="31">
        <f>SUMIFS(LinkFromRateBase!$I:$I,LinkFromRateBase!$E:$E,I$5,LinkFromRateBase!$F:$F,$D246)</f>
        <v>0</v>
      </c>
      <c r="J246" s="31">
        <f>SUMIFS(LinkFromRateBase!$I:$I,LinkFromRateBase!$E:$E,J$5,LinkFromRateBase!$F:$F,$D246)</f>
        <v>0</v>
      </c>
      <c r="K246" s="31">
        <f>SUMIFS(LinkFromRateBase!$I:$I,LinkFromRateBase!$E:$E,K$5,LinkFromRateBase!$F:$F,$D246)</f>
        <v>0</v>
      </c>
      <c r="L246" s="31">
        <f>SUMIFS(LinkFromRateBase!$I:$I,LinkFromRateBase!$E:$E,L$5,LinkFromRateBase!$F:$F,$D246)</f>
        <v>0</v>
      </c>
      <c r="M246" s="31">
        <f>SUMIFS(LinkFromRateBase!$I:$I,LinkFromRateBase!$E:$E,M$5,LinkFromRateBase!$F:$F,$D246)</f>
        <v>0</v>
      </c>
      <c r="N246" s="31">
        <f>SUMIFS(LinkFromRateBase!$I:$I,LinkFromRateBase!$E:$E,N$5,LinkFromRateBase!$F:$F,$D246)</f>
        <v>0</v>
      </c>
      <c r="O246" s="31">
        <f>SUMIFS(LinkFromRateBase!$I:$I,LinkFromRateBase!$E:$E,O$5,LinkFromRateBase!$F:$F,$D246)</f>
        <v>0</v>
      </c>
      <c r="P246" s="31">
        <f>SUMIFS(LinkFromRateBase!$I:$I,LinkFromRateBase!$E:$E,P$5,LinkFromRateBase!$F:$F,$D246)</f>
        <v>0</v>
      </c>
      <c r="Q246" s="31">
        <f>SUMIFS(LinkFromRateBase!$I:$I,LinkFromRateBase!$E:$E,Q$5,LinkFromRateBase!$F:$F,$D246)</f>
        <v>0</v>
      </c>
      <c r="R246" s="31">
        <f>SUMIFS(LinkFromRateBase!$I:$I,LinkFromRateBase!$E:$E,R$5,LinkFromRateBase!$F:$F,$D246)</f>
        <v>0</v>
      </c>
      <c r="S246" s="31">
        <f>SUMIFS(LinkFromRateBase!$I:$I,LinkFromRateBase!$E:$E,S$5,LinkFromRateBase!$F:$F,$D246)</f>
        <v>0</v>
      </c>
      <c r="T246" s="31">
        <f>SUMIFS(LinkFromRateBase!$I:$I,LinkFromRateBase!$E:$E,T$5,LinkFromRateBase!$F:$F,$D246)</f>
        <v>0</v>
      </c>
      <c r="U246" s="31">
        <f>SUMIFS(LinkFromRateBase!$I:$I,LinkFromRateBase!$E:$E,U$5,LinkFromRateBase!$F:$F,$D246)</f>
        <v>73893</v>
      </c>
      <c r="V246" s="31"/>
      <c r="W246"/>
    </row>
    <row r="247" spans="2:23" x14ac:dyDescent="0.25">
      <c r="B247" s="229" t="s">
        <v>7259</v>
      </c>
      <c r="D247" s="38" t="s">
        <v>8105</v>
      </c>
      <c r="F247" s="31">
        <f t="shared" si="28"/>
        <v>7264</v>
      </c>
      <c r="H247" s="31">
        <f>SUMIFS(LinkFromRateBase!$I:$I,LinkFromRateBase!$E:$E,H$5,LinkFromRateBase!$F:$F,$D247)</f>
        <v>0</v>
      </c>
      <c r="I247" s="31">
        <f>SUMIFS(LinkFromRateBase!$I:$I,LinkFromRateBase!$E:$E,I$5,LinkFromRateBase!$F:$F,$D247)</f>
        <v>0</v>
      </c>
      <c r="J247" s="31">
        <f>SUMIFS(LinkFromRateBase!$I:$I,LinkFromRateBase!$E:$E,J$5,LinkFromRateBase!$F:$F,$D247)</f>
        <v>0</v>
      </c>
      <c r="K247" s="31">
        <f>SUMIFS(LinkFromRateBase!$I:$I,LinkFromRateBase!$E:$E,K$5,LinkFromRateBase!$F:$F,$D247)</f>
        <v>0</v>
      </c>
      <c r="L247" s="31">
        <f>SUMIFS(LinkFromRateBase!$I:$I,LinkFromRateBase!$E:$E,L$5,LinkFromRateBase!$F:$F,$D247)</f>
        <v>0</v>
      </c>
      <c r="M247" s="31">
        <f>SUMIFS(LinkFromRateBase!$I:$I,LinkFromRateBase!$E:$E,M$5,LinkFromRateBase!$F:$F,$D247)</f>
        <v>0</v>
      </c>
      <c r="N247" s="31">
        <f>SUMIFS(LinkFromRateBase!$I:$I,LinkFromRateBase!$E:$E,N$5,LinkFromRateBase!$F:$F,$D247)</f>
        <v>0</v>
      </c>
      <c r="O247" s="31">
        <f>SUMIFS(LinkFromRateBase!$I:$I,LinkFromRateBase!$E:$E,O$5,LinkFromRateBase!$F:$F,$D247)</f>
        <v>0</v>
      </c>
      <c r="P247" s="31">
        <f>SUMIFS(LinkFromRateBase!$I:$I,LinkFromRateBase!$E:$E,P$5,LinkFromRateBase!$F:$F,$D247)</f>
        <v>0</v>
      </c>
      <c r="Q247" s="31">
        <f>SUMIFS(LinkFromRateBase!$I:$I,LinkFromRateBase!$E:$E,Q$5,LinkFromRateBase!$F:$F,$D247)</f>
        <v>0</v>
      </c>
      <c r="R247" s="31">
        <f>SUMIFS(LinkFromRateBase!$I:$I,LinkFromRateBase!$E:$E,R$5,LinkFromRateBase!$F:$F,$D247)</f>
        <v>0</v>
      </c>
      <c r="S247" s="31">
        <f>SUMIFS(LinkFromRateBase!$I:$I,LinkFromRateBase!$E:$E,S$5,LinkFromRateBase!$F:$F,$D247)</f>
        <v>0</v>
      </c>
      <c r="T247" s="31">
        <f>SUMIFS(LinkFromRateBase!$I:$I,LinkFromRateBase!$E:$E,T$5,LinkFromRateBase!$F:$F,$D247)</f>
        <v>0</v>
      </c>
      <c r="U247" s="31">
        <f>SUMIFS(LinkFromRateBase!$I:$I,LinkFromRateBase!$E:$E,U$5,LinkFromRateBase!$F:$F,$D247)</f>
        <v>7264</v>
      </c>
      <c r="V247" s="31"/>
      <c r="W247"/>
    </row>
    <row r="248" spans="2:23" x14ac:dyDescent="0.25">
      <c r="B248" s="16"/>
      <c r="D248" s="15"/>
      <c r="H248" s="31"/>
      <c r="I248" s="31"/>
      <c r="J248" s="31"/>
      <c r="K248" s="31"/>
      <c r="L248" s="62"/>
      <c r="M248" s="62"/>
      <c r="N248" s="62"/>
      <c r="O248" s="62"/>
      <c r="P248" s="31"/>
      <c r="Q248" s="31"/>
      <c r="R248" s="31"/>
      <c r="S248" s="31"/>
      <c r="T248" s="31"/>
      <c r="U248" s="31"/>
      <c r="V248" s="31"/>
      <c r="W248"/>
    </row>
    <row r="249" spans="2:23" x14ac:dyDescent="0.25">
      <c r="B249" s="16"/>
      <c r="D249" s="115" t="s">
        <v>7050</v>
      </c>
      <c r="F249" s="52">
        <f>SUM(F164:F248)</f>
        <v>8287933</v>
      </c>
      <c r="H249" s="42">
        <f t="shared" ref="H249:U249" si="29">SUM(H164:H248)</f>
        <v>69883</v>
      </c>
      <c r="I249" s="42">
        <f t="shared" si="29"/>
        <v>210521</v>
      </c>
      <c r="J249" s="42">
        <f t="shared" si="29"/>
        <v>803792</v>
      </c>
      <c r="K249" s="42">
        <f t="shared" si="29"/>
        <v>166772</v>
      </c>
      <c r="L249" s="165">
        <f t="shared" si="29"/>
        <v>0</v>
      </c>
      <c r="M249" s="165">
        <f t="shared" si="29"/>
        <v>15197</v>
      </c>
      <c r="N249" s="165">
        <f t="shared" si="29"/>
        <v>634226</v>
      </c>
      <c r="O249" s="165">
        <f t="shared" si="29"/>
        <v>1046612</v>
      </c>
      <c r="P249" s="42">
        <f t="shared" si="29"/>
        <v>165648</v>
      </c>
      <c r="Q249" s="42">
        <f t="shared" si="29"/>
        <v>1418185</v>
      </c>
      <c r="R249" s="42">
        <f t="shared" si="29"/>
        <v>133148</v>
      </c>
      <c r="S249" s="42">
        <f t="shared" si="29"/>
        <v>0</v>
      </c>
      <c r="T249" s="42">
        <f t="shared" si="29"/>
        <v>530835</v>
      </c>
      <c r="U249" s="42">
        <f t="shared" si="29"/>
        <v>3093114</v>
      </c>
      <c r="V249" s="31"/>
      <c r="W249"/>
    </row>
    <row r="250" spans="2:23" x14ac:dyDescent="0.25">
      <c r="B250" s="13"/>
      <c r="D250" s="17"/>
      <c r="H250" s="31"/>
      <c r="I250" s="31"/>
      <c r="J250" s="31"/>
      <c r="K250" s="31"/>
      <c r="L250" s="62"/>
      <c r="M250" s="62"/>
      <c r="N250" s="62"/>
      <c r="O250" s="62"/>
      <c r="P250" s="31"/>
      <c r="Q250" s="31"/>
      <c r="R250" s="31"/>
      <c r="S250" s="31"/>
      <c r="T250" s="31"/>
      <c r="U250" s="31"/>
      <c r="V250" s="31"/>
      <c r="W250"/>
    </row>
    <row r="251" spans="2:23" x14ac:dyDescent="0.25">
      <c r="B251" s="13"/>
      <c r="D251" s="15" t="s">
        <v>8151</v>
      </c>
      <c r="F251" s="31">
        <f>+LinkFromRateBase!G81</f>
        <v>0</v>
      </c>
      <c r="H251" s="31"/>
      <c r="I251" s="31"/>
      <c r="J251" s="31"/>
      <c r="K251" s="31"/>
      <c r="L251" s="62"/>
      <c r="M251" s="62"/>
      <c r="N251" s="62"/>
      <c r="O251" s="62"/>
      <c r="P251" s="31"/>
      <c r="Q251" s="31"/>
      <c r="R251" s="31"/>
      <c r="S251" s="31"/>
      <c r="T251" s="31"/>
      <c r="U251" s="31"/>
      <c r="V251" s="31"/>
      <c r="W251"/>
    </row>
    <row r="252" spans="2:23" x14ac:dyDescent="0.25">
      <c r="B252" s="13"/>
      <c r="D252" s="171" t="s">
        <v>7051</v>
      </c>
      <c r="F252" s="31">
        <f>+LinkFromRateBase!G82+LinkFromRateBase!G134</f>
        <v>0</v>
      </c>
      <c r="H252" s="31"/>
      <c r="I252" s="31"/>
      <c r="J252" s="31"/>
      <c r="K252" s="31"/>
      <c r="L252" s="62"/>
      <c r="M252" s="62"/>
      <c r="N252" s="62"/>
      <c r="O252" s="62"/>
      <c r="P252" s="31"/>
      <c r="Q252" s="31"/>
      <c r="R252" s="31"/>
      <c r="S252" s="31"/>
      <c r="T252" s="31"/>
      <c r="U252" s="31"/>
      <c r="V252" s="31"/>
      <c r="W252"/>
    </row>
    <row r="253" spans="2:23" x14ac:dyDescent="0.25">
      <c r="B253" s="13"/>
      <c r="H253" s="31"/>
      <c r="I253" s="31"/>
      <c r="J253" s="31"/>
      <c r="K253" s="31"/>
      <c r="L253" s="62"/>
      <c r="M253" s="62"/>
      <c r="N253" s="62"/>
      <c r="O253" s="62"/>
      <c r="P253" s="31"/>
      <c r="Q253" s="31"/>
      <c r="R253" s="31"/>
      <c r="S253" s="31"/>
      <c r="T253" s="31"/>
      <c r="U253" s="31"/>
      <c r="V253" s="31"/>
      <c r="W253"/>
    </row>
    <row r="254" spans="2:23" ht="15.75" thickBot="1" x14ac:dyDescent="0.3">
      <c r="B254" s="35"/>
      <c r="D254" s="116" t="s">
        <v>7052</v>
      </c>
      <c r="F254" s="43">
        <f>SUM(F249:F253)</f>
        <v>8287933</v>
      </c>
      <c r="H254" s="31"/>
      <c r="I254" s="31"/>
      <c r="J254" s="31"/>
      <c r="K254" s="31"/>
      <c r="L254" s="62"/>
      <c r="M254" s="62"/>
      <c r="N254" s="62"/>
      <c r="O254" s="62"/>
      <c r="P254" s="31"/>
      <c r="Q254" s="31"/>
      <c r="R254" s="31"/>
      <c r="S254" s="31"/>
      <c r="T254" s="31"/>
      <c r="U254" s="31"/>
      <c r="V254" s="31"/>
      <c r="W254"/>
    </row>
    <row r="255" spans="2:23" x14ac:dyDescent="0.25">
      <c r="H255" s="31"/>
      <c r="I255" s="31"/>
      <c r="J255" s="31"/>
      <c r="K255" s="31"/>
      <c r="L255" s="62"/>
      <c r="M255" s="62"/>
      <c r="N255" s="62"/>
      <c r="O255" s="62"/>
      <c r="P255" s="31"/>
      <c r="Q255" s="31"/>
      <c r="R255" s="31"/>
      <c r="S255" s="31"/>
      <c r="T255" s="31"/>
      <c r="U255" s="31"/>
      <c r="V255" s="31"/>
      <c r="W255"/>
    </row>
    <row r="256" spans="2:23" x14ac:dyDescent="0.25">
      <c r="F256" s="154"/>
      <c r="H256" s="31"/>
      <c r="I256" s="31"/>
      <c r="J256" s="31"/>
      <c r="K256" s="31"/>
      <c r="L256" s="62"/>
      <c r="M256" s="62"/>
      <c r="N256" s="62"/>
      <c r="O256" s="62"/>
      <c r="P256" s="31"/>
      <c r="Q256" s="31"/>
      <c r="R256" s="31"/>
      <c r="S256" s="31"/>
      <c r="T256" s="31"/>
      <c r="U256" s="31"/>
      <c r="V256" s="31"/>
      <c r="W256"/>
    </row>
    <row r="257" spans="3:23" x14ac:dyDescent="0.25">
      <c r="D257" s="2" t="s">
        <v>4010</v>
      </c>
      <c r="F257" s="154">
        <f>+LinkFromProFormaIS!F321</f>
        <v>11112</v>
      </c>
      <c r="H257" s="31"/>
      <c r="I257" s="31"/>
      <c r="J257" s="31"/>
      <c r="K257" s="31"/>
      <c r="L257" s="62"/>
      <c r="M257" s="62"/>
      <c r="N257" s="62"/>
      <c r="O257" s="62"/>
      <c r="P257" s="31"/>
      <c r="Q257" s="31"/>
      <c r="R257" s="31"/>
      <c r="S257" s="31"/>
      <c r="T257" s="31"/>
      <c r="U257" s="31"/>
      <c r="V257" s="31"/>
      <c r="W257"/>
    </row>
    <row r="258" spans="3:23" x14ac:dyDescent="0.25">
      <c r="D258" s="2" t="s">
        <v>4011</v>
      </c>
      <c r="F258" s="154">
        <f>+LinkFromProFormaIS!F322</f>
        <v>54747</v>
      </c>
      <c r="H258" s="31"/>
      <c r="I258" s="31"/>
      <c r="J258" s="31"/>
      <c r="K258" s="31"/>
      <c r="L258" s="62"/>
      <c r="M258" s="62"/>
      <c r="N258" s="62"/>
      <c r="O258" s="62"/>
      <c r="P258" s="31"/>
      <c r="Q258" s="31"/>
      <c r="R258" s="31"/>
      <c r="S258" s="31"/>
      <c r="T258" s="31"/>
      <c r="U258" s="31"/>
      <c r="V258" s="31"/>
      <c r="W258"/>
    </row>
    <row r="259" spans="3:23" x14ac:dyDescent="0.25">
      <c r="D259" s="2" t="s">
        <v>4015</v>
      </c>
      <c r="F259" s="154">
        <f>+LinkFromProFormaIS!F323</f>
        <v>13344</v>
      </c>
      <c r="H259" s="31"/>
      <c r="I259" s="31"/>
      <c r="J259" s="31"/>
      <c r="K259" s="31"/>
      <c r="L259" s="62"/>
      <c r="M259" s="62"/>
      <c r="N259" s="62"/>
      <c r="O259" s="62"/>
      <c r="P259" s="31"/>
      <c r="Q259" s="31"/>
      <c r="R259" s="31"/>
      <c r="S259" s="31"/>
      <c r="T259" s="31"/>
      <c r="U259" s="31"/>
      <c r="V259" s="31"/>
      <c r="W259"/>
    </row>
    <row r="260" spans="3:23" x14ac:dyDescent="0.25">
      <c r="H260" s="31"/>
      <c r="I260" s="31"/>
      <c r="J260" s="31"/>
      <c r="K260" s="31"/>
      <c r="L260" s="62"/>
      <c r="M260" s="62"/>
      <c r="N260" s="62"/>
      <c r="O260" s="62"/>
      <c r="P260" s="31"/>
      <c r="Q260" s="31"/>
      <c r="R260" s="31"/>
      <c r="S260" s="31"/>
      <c r="T260" s="31"/>
      <c r="U260" s="31"/>
      <c r="V260" s="31"/>
      <c r="W260"/>
    </row>
    <row r="261" spans="3:23" ht="15.75" thickBot="1" x14ac:dyDescent="0.3">
      <c r="D261" s="1" t="s">
        <v>7158</v>
      </c>
      <c r="F261" s="43">
        <f>SUM(F256:F259)</f>
        <v>79203</v>
      </c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/>
    </row>
    <row r="262" spans="3:23" x14ac:dyDescent="0.25"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/>
    </row>
    <row r="263" spans="3:23" x14ac:dyDescent="0.25">
      <c r="H263" s="31"/>
      <c r="I263" s="31"/>
      <c r="J263" s="31"/>
      <c r="K263" s="31"/>
      <c r="L263" s="62"/>
      <c r="M263" s="62"/>
      <c r="N263" s="62"/>
      <c r="O263" s="62"/>
      <c r="P263" s="31"/>
      <c r="Q263" s="31"/>
      <c r="R263" s="31"/>
      <c r="S263" s="31"/>
      <c r="T263" s="31"/>
      <c r="U263" s="31"/>
      <c r="V263" s="31"/>
      <c r="W263"/>
    </row>
    <row r="264" spans="3:23" ht="15.75" thickBot="1" x14ac:dyDescent="0.3">
      <c r="D264" s="18" t="s">
        <v>7151</v>
      </c>
      <c r="F264" s="50">
        <f>+F254+F261</f>
        <v>8367136</v>
      </c>
      <c r="H264" s="31"/>
      <c r="I264" s="31"/>
      <c r="J264" s="31"/>
      <c r="K264" s="31"/>
      <c r="L264" s="62"/>
      <c r="M264" s="62"/>
      <c r="N264" s="62"/>
      <c r="O264" s="62"/>
      <c r="P264" s="31"/>
      <c r="Q264" s="31"/>
      <c r="R264" s="31"/>
      <c r="S264" s="31"/>
      <c r="T264" s="31"/>
      <c r="U264" s="31"/>
      <c r="V264" s="31"/>
      <c r="W264"/>
    </row>
    <row r="265" spans="3:23" x14ac:dyDescent="0.25">
      <c r="H265" s="31"/>
      <c r="I265" s="31"/>
      <c r="J265" s="31"/>
      <c r="K265" s="31"/>
      <c r="L265" s="62"/>
      <c r="M265" s="62"/>
      <c r="N265" s="62"/>
      <c r="O265" s="62"/>
      <c r="P265" s="31"/>
      <c r="Q265" s="31"/>
      <c r="R265" s="31"/>
      <c r="S265" s="31"/>
      <c r="T265" s="31"/>
      <c r="U265" s="31"/>
      <c r="V265" s="31"/>
      <c r="W265"/>
    </row>
    <row r="266" spans="3:23" x14ac:dyDescent="0.25">
      <c r="C266" s="1" t="s">
        <v>6972</v>
      </c>
      <c r="D266"/>
      <c r="H266" s="31"/>
      <c r="I266" s="31"/>
      <c r="J266" s="31"/>
      <c r="K266" s="31"/>
      <c r="L266" s="62"/>
      <c r="M266" s="62"/>
      <c r="N266" s="62"/>
      <c r="O266" s="62"/>
      <c r="P266" s="31"/>
      <c r="Q266" s="31"/>
      <c r="R266" s="31"/>
      <c r="S266" s="31"/>
      <c r="T266" s="31"/>
      <c r="U266" s="31"/>
      <c r="V266" s="31"/>
      <c r="W266"/>
    </row>
    <row r="267" spans="3:23" x14ac:dyDescent="0.25">
      <c r="C267"/>
      <c r="D267" t="s">
        <v>19</v>
      </c>
      <c r="F267" s="31">
        <f>SUMIF(LinkFromProFormaIS!J:J,D267,LinkFromProFormaIS!F:F)</f>
        <v>3030984</v>
      </c>
      <c r="H267" s="31"/>
      <c r="I267" s="31"/>
      <c r="J267" s="31"/>
      <c r="K267" s="31"/>
      <c r="L267" s="62"/>
      <c r="M267" s="62"/>
      <c r="N267" s="62"/>
      <c r="O267" s="62"/>
      <c r="P267" s="31"/>
      <c r="Q267" s="31"/>
      <c r="R267" s="31"/>
      <c r="S267" s="31"/>
      <c r="T267" s="31"/>
      <c r="U267" s="31"/>
      <c r="V267" s="31"/>
      <c r="W267"/>
    </row>
    <row r="268" spans="3:23" x14ac:dyDescent="0.25">
      <c r="C268"/>
      <c r="D268" t="s">
        <v>7162</v>
      </c>
      <c r="F268" s="31">
        <f>SUMIF(LinkFromProFormaIS!J:J,D268,LinkFromProFormaIS!F:F)</f>
        <v>349036.99754669063</v>
      </c>
      <c r="H268" s="31"/>
      <c r="I268" s="31"/>
      <c r="J268" s="31"/>
      <c r="K268" s="31"/>
      <c r="L268" s="62"/>
      <c r="M268" s="62"/>
      <c r="N268" s="62"/>
      <c r="O268" s="62"/>
      <c r="P268" s="31"/>
      <c r="Q268" s="31"/>
      <c r="R268" s="31"/>
      <c r="S268" s="31"/>
      <c r="T268" s="31"/>
      <c r="U268" s="31"/>
      <c r="V268" s="31"/>
      <c r="W268"/>
    </row>
    <row r="269" spans="3:23" x14ac:dyDescent="0.25">
      <c r="C269"/>
      <c r="D269" s="31" t="s">
        <v>6899</v>
      </c>
      <c r="F269" s="31">
        <f>SUMIF(LinkFromProFormaIS!J:J,D269,LinkFromProFormaIS!F:F)</f>
        <v>8550</v>
      </c>
      <c r="H269" s="31"/>
      <c r="I269" s="31"/>
      <c r="J269" s="31"/>
      <c r="K269" s="31"/>
      <c r="L269" s="62"/>
      <c r="M269" s="62"/>
      <c r="N269" s="62"/>
      <c r="O269" s="62"/>
      <c r="P269" s="31"/>
      <c r="Q269" s="31"/>
      <c r="R269" s="31"/>
      <c r="S269" s="31"/>
      <c r="T269" s="31"/>
      <c r="U269" s="31"/>
      <c r="V269" s="31"/>
      <c r="W269"/>
    </row>
    <row r="270" spans="3:23" x14ac:dyDescent="0.25">
      <c r="C270"/>
      <c r="D270" t="s">
        <v>63</v>
      </c>
      <c r="F270" s="31">
        <f>SUMIF(LinkFromProFormaIS!J:J,D270,LinkFromProFormaIS!F:F)</f>
        <v>105132</v>
      </c>
      <c r="H270" s="31"/>
      <c r="I270" s="31"/>
      <c r="J270" s="31"/>
      <c r="K270" s="31"/>
      <c r="L270" s="62"/>
      <c r="M270" s="62"/>
      <c r="N270" s="62"/>
      <c r="O270" s="62"/>
      <c r="P270" s="31"/>
      <c r="Q270" s="31"/>
      <c r="R270" s="31"/>
      <c r="S270" s="31"/>
      <c r="T270" s="31"/>
      <c r="U270" s="31"/>
      <c r="V270" s="31"/>
      <c r="W270"/>
    </row>
    <row r="271" spans="3:23" x14ac:dyDescent="0.25">
      <c r="C271"/>
      <c r="D271" s="54"/>
      <c r="F271" s="31"/>
      <c r="H271" s="31"/>
      <c r="I271" s="31"/>
      <c r="J271"/>
      <c r="K271" s="31"/>
      <c r="L271" s="62"/>
      <c r="M271" s="62"/>
      <c r="N271" s="62"/>
      <c r="O271" s="62"/>
      <c r="P271" s="31"/>
      <c r="Q271" s="31"/>
      <c r="R271" s="31"/>
      <c r="S271" s="31"/>
      <c r="T271" s="31"/>
      <c r="U271" s="31"/>
      <c r="V271" s="31"/>
      <c r="W271"/>
    </row>
    <row r="272" spans="3:23" ht="15.75" thickBot="1" x14ac:dyDescent="0.3">
      <c r="D272" s="18" t="s">
        <v>6976</v>
      </c>
      <c r="F272" s="50">
        <f>SUM(F267:F271)</f>
        <v>3493702.9975466905</v>
      </c>
      <c r="H272" s="31"/>
      <c r="I272" s="31"/>
      <c r="J272"/>
      <c r="K272" s="31"/>
      <c r="L272" s="62"/>
      <c r="M272" s="62"/>
      <c r="N272" s="62"/>
      <c r="O272" s="62"/>
      <c r="P272" s="31"/>
      <c r="Q272" s="31"/>
      <c r="R272" s="31"/>
      <c r="S272" s="31"/>
      <c r="T272" s="31"/>
      <c r="U272" s="31"/>
      <c r="V272" s="31"/>
      <c r="W272"/>
    </row>
    <row r="273" spans="3:23" x14ac:dyDescent="0.25">
      <c r="H273" s="31"/>
      <c r="I273" s="31"/>
      <c r="J273"/>
      <c r="K273" s="31"/>
      <c r="L273" s="62"/>
      <c r="M273" s="62"/>
      <c r="N273" s="62"/>
      <c r="O273" s="62"/>
      <c r="P273" s="31"/>
      <c r="Q273" s="31"/>
      <c r="R273" s="31"/>
      <c r="S273" s="31"/>
      <c r="T273" s="31"/>
      <c r="U273" s="31"/>
      <c r="V273" s="31"/>
      <c r="W273"/>
    </row>
    <row r="274" spans="3:23" ht="15.75" thickBot="1" x14ac:dyDescent="0.3">
      <c r="D274" s="18" t="s">
        <v>6973</v>
      </c>
      <c r="F274" s="51">
        <f>+F159+F264+F272</f>
        <v>30149908.997546691</v>
      </c>
      <c r="H274" s="31"/>
      <c r="I274" s="31"/>
      <c r="J274"/>
      <c r="K274" s="31"/>
      <c r="L274" s="62"/>
      <c r="M274" s="62"/>
      <c r="N274" s="62"/>
      <c r="O274" s="62"/>
      <c r="P274" s="31"/>
      <c r="Q274" s="31"/>
      <c r="R274" s="31"/>
      <c r="S274" s="31"/>
      <c r="T274" s="31"/>
      <c r="U274" s="31"/>
      <c r="V274" s="31"/>
      <c r="W274"/>
    </row>
    <row r="275" spans="3:23" x14ac:dyDescent="0.25">
      <c r="H275" s="31"/>
      <c r="I275" s="31"/>
      <c r="J275"/>
      <c r="K275" s="31"/>
      <c r="L275" s="62"/>
      <c r="M275" s="62"/>
      <c r="N275" s="62"/>
      <c r="O275" s="62"/>
      <c r="P275" s="31"/>
      <c r="Q275" s="31"/>
      <c r="R275" s="31"/>
      <c r="S275" s="31"/>
      <c r="T275" s="31"/>
      <c r="U275" s="31"/>
      <c r="V275" s="31"/>
      <c r="W275"/>
    </row>
    <row r="276" spans="3:23" x14ac:dyDescent="0.25">
      <c r="H276" s="31"/>
      <c r="I276"/>
      <c r="J276" s="31"/>
      <c r="K276" s="31"/>
      <c r="L276" s="62"/>
      <c r="M276" s="62"/>
      <c r="N276" s="62"/>
      <c r="O276" s="62"/>
      <c r="P276" s="31"/>
      <c r="Q276" s="31"/>
      <c r="R276" s="31"/>
      <c r="S276" s="31"/>
      <c r="T276" s="31"/>
      <c r="U276" s="31"/>
      <c r="V276" s="31"/>
      <c r="W276"/>
    </row>
    <row r="277" spans="3:23" x14ac:dyDescent="0.25">
      <c r="C277" s="1" t="s">
        <v>6975</v>
      </c>
      <c r="D277"/>
      <c r="F277" s="31"/>
      <c r="H277" s="31"/>
      <c r="I277"/>
      <c r="J277" s="31"/>
      <c r="K277" s="31"/>
      <c r="L277" s="62"/>
      <c r="M277" s="62"/>
      <c r="N277" s="62"/>
      <c r="O277" s="62"/>
      <c r="P277" s="31"/>
      <c r="Q277" s="31"/>
      <c r="R277" s="31"/>
      <c r="S277" s="31"/>
      <c r="T277" s="31"/>
      <c r="U277" s="31"/>
      <c r="V277" s="31"/>
      <c r="W277"/>
    </row>
    <row r="278" spans="3:23" x14ac:dyDescent="0.25">
      <c r="D278" t="s">
        <v>6891</v>
      </c>
      <c r="F278" s="31">
        <f>SUMIF(LinkFromProFormaIS!J:J,D278,LinkFromProFormaIS!F:F)</f>
        <v>1610724.5</v>
      </c>
      <c r="H278" s="31"/>
      <c r="I278"/>
      <c r="J278" s="31"/>
      <c r="K278" s="31"/>
      <c r="L278" s="62"/>
      <c r="M278" s="62"/>
      <c r="N278" s="62"/>
      <c r="O278" s="62"/>
      <c r="P278" s="31"/>
      <c r="Q278" s="31"/>
      <c r="R278" s="31"/>
      <c r="S278" s="31"/>
      <c r="T278" s="31"/>
      <c r="U278" s="31"/>
      <c r="V278" s="31"/>
      <c r="W278"/>
    </row>
    <row r="279" spans="3:23" x14ac:dyDescent="0.25">
      <c r="D279" t="s">
        <v>6892</v>
      </c>
      <c r="F279" s="31">
        <f>SUMIF(LinkFromProFormaIS!J:J,D279,LinkFromProFormaIS!F:F)</f>
        <v>953910</v>
      </c>
      <c r="H279" s="31"/>
      <c r="I279"/>
      <c r="J279" s="31"/>
      <c r="K279" s="31"/>
      <c r="L279" s="62"/>
      <c r="M279" s="62"/>
      <c r="N279" s="62"/>
      <c r="O279" s="62"/>
      <c r="P279" s="31"/>
      <c r="Q279" s="31"/>
      <c r="R279" s="31"/>
      <c r="S279" s="31"/>
      <c r="T279" s="31"/>
      <c r="U279" s="31"/>
      <c r="V279" s="31"/>
      <c r="W279"/>
    </row>
    <row r="280" spans="3:23" x14ac:dyDescent="0.25">
      <c r="D280" t="s">
        <v>8136</v>
      </c>
      <c r="F280" s="31">
        <f>SUMIF(LinkFromProFormaIS!J:J,D280,LinkFromProFormaIS!F:F)</f>
        <v>-5275</v>
      </c>
      <c r="H280" s="31"/>
      <c r="I280"/>
      <c r="J280" s="31"/>
      <c r="K280" s="31"/>
      <c r="L280" s="62"/>
      <c r="M280" s="62"/>
      <c r="N280" s="62"/>
      <c r="O280" s="62"/>
      <c r="P280" s="31"/>
      <c r="Q280" s="31"/>
      <c r="R280" s="31"/>
      <c r="S280" s="31"/>
      <c r="T280" s="31"/>
      <c r="U280" s="31"/>
      <c r="V280" s="31"/>
      <c r="W280"/>
    </row>
    <row r="281" spans="3:23" x14ac:dyDescent="0.25">
      <c r="D281" s="92"/>
      <c r="F281" s="31"/>
      <c r="H281" s="31"/>
      <c r="I281" s="31"/>
      <c r="J281" s="31"/>
      <c r="K281" s="31"/>
      <c r="L281" s="62"/>
      <c r="M281" s="62"/>
      <c r="N281" s="62"/>
      <c r="O281" s="62"/>
      <c r="P281" s="31"/>
      <c r="Q281" s="31"/>
      <c r="R281" s="31"/>
      <c r="S281" s="31"/>
      <c r="T281" s="31"/>
      <c r="U281" s="31"/>
      <c r="V281" s="31"/>
      <c r="W281"/>
    </row>
    <row r="282" spans="3:23" ht="15.75" thickBot="1" x14ac:dyDescent="0.3">
      <c r="D282" s="18" t="s">
        <v>6974</v>
      </c>
      <c r="F282" s="50">
        <f>SUM(F278:F281)</f>
        <v>2559359.5</v>
      </c>
      <c r="H282" s="31"/>
      <c r="I282" s="31"/>
      <c r="J282" s="31"/>
      <c r="K282" s="31"/>
      <c r="L282" s="62"/>
      <c r="M282" s="62"/>
      <c r="N282" s="62"/>
      <c r="O282" s="62"/>
      <c r="P282" s="31"/>
      <c r="Q282" s="31"/>
      <c r="R282" s="31"/>
      <c r="S282" s="31"/>
      <c r="T282" s="31"/>
      <c r="U282" s="31"/>
      <c r="V282" s="31"/>
      <c r="W282"/>
    </row>
    <row r="283" spans="3:23" x14ac:dyDescent="0.25">
      <c r="H283" s="31"/>
      <c r="I283" s="31"/>
      <c r="J283" s="31"/>
      <c r="K283" s="31"/>
      <c r="L283" s="62"/>
      <c r="M283" s="62"/>
      <c r="N283" s="62"/>
      <c r="O283" s="62"/>
      <c r="P283" s="31"/>
      <c r="Q283" s="31"/>
      <c r="R283" s="31"/>
      <c r="S283" s="31"/>
      <c r="T283" s="31"/>
      <c r="U283" s="31"/>
      <c r="V283" s="31"/>
      <c r="W283"/>
    </row>
    <row r="284" spans="3:23" ht="15.75" thickBot="1" x14ac:dyDescent="0.3">
      <c r="F284" s="50">
        <f>F282+F272+F264+F159</f>
        <v>32709268.497546691</v>
      </c>
      <c r="H284" s="31"/>
      <c r="I284" s="31"/>
      <c r="J284" s="31"/>
      <c r="K284" s="31"/>
      <c r="L284" s="62"/>
      <c r="M284" s="62"/>
      <c r="N284" s="62"/>
      <c r="O284" s="62"/>
      <c r="P284" s="31"/>
      <c r="Q284" s="31"/>
      <c r="R284" s="31"/>
      <c r="S284" s="31"/>
      <c r="T284" s="31"/>
      <c r="U284" s="31"/>
      <c r="V284" s="31"/>
      <c r="W284"/>
    </row>
    <row r="285" spans="3:23" x14ac:dyDescent="0.25">
      <c r="H285" s="31"/>
      <c r="I285" s="31"/>
      <c r="J285" s="31"/>
      <c r="K285" s="31"/>
      <c r="L285" s="62"/>
      <c r="M285" s="62"/>
      <c r="N285" s="62"/>
      <c r="O285" s="62"/>
      <c r="P285" s="31"/>
      <c r="Q285" s="31"/>
      <c r="R285" s="31"/>
      <c r="S285" s="31"/>
      <c r="T285" s="31"/>
      <c r="U285" s="31"/>
      <c r="V285" s="31"/>
      <c r="W285"/>
    </row>
    <row r="286" spans="3:23" x14ac:dyDescent="0.25">
      <c r="H286" s="31"/>
      <c r="I286" s="31"/>
      <c r="J286" s="31"/>
      <c r="K286" s="31"/>
      <c r="L286" s="62"/>
      <c r="M286" s="62"/>
      <c r="N286" s="62"/>
      <c r="O286" s="62"/>
      <c r="P286" s="31"/>
      <c r="Q286" s="31"/>
      <c r="R286" s="31"/>
      <c r="S286" s="31"/>
      <c r="T286" s="31"/>
      <c r="U286" s="31"/>
      <c r="V286" s="31"/>
      <c r="W286"/>
    </row>
    <row r="287" spans="3:23" x14ac:dyDescent="0.25">
      <c r="H287" s="31"/>
      <c r="I287" s="31"/>
      <c r="J287" s="31"/>
      <c r="K287" s="31"/>
      <c r="L287" s="62"/>
      <c r="M287" s="62"/>
      <c r="N287" s="62"/>
      <c r="O287" s="62"/>
      <c r="P287" s="31"/>
      <c r="Q287" s="31"/>
      <c r="R287" s="31"/>
      <c r="S287" s="31"/>
      <c r="T287" s="31"/>
      <c r="U287" s="31"/>
      <c r="V287" s="31"/>
      <c r="W287"/>
    </row>
    <row r="288" spans="3:23" x14ac:dyDescent="0.25">
      <c r="H288" s="31"/>
      <c r="I288" s="31"/>
      <c r="J288" s="31"/>
      <c r="K288" s="31"/>
      <c r="L288" s="62"/>
      <c r="M288" s="62"/>
      <c r="N288" s="62"/>
      <c r="O288" s="62"/>
      <c r="P288" s="31"/>
      <c r="Q288" s="31"/>
      <c r="R288" s="31"/>
      <c r="S288" s="31"/>
      <c r="T288" s="31"/>
      <c r="U288" s="31"/>
      <c r="V288" s="31"/>
      <c r="W288"/>
    </row>
    <row r="289" spans="8:23" x14ac:dyDescent="0.25">
      <c r="H289" s="31"/>
      <c r="I289" s="31"/>
      <c r="J289" s="31"/>
      <c r="K289" s="31"/>
      <c r="L289" s="62"/>
      <c r="M289" s="62"/>
      <c r="N289" s="62"/>
      <c r="O289" s="62"/>
      <c r="P289" s="31"/>
      <c r="Q289" s="31"/>
      <c r="R289" s="31"/>
      <c r="S289" s="31"/>
      <c r="T289" s="31"/>
      <c r="U289" s="31"/>
      <c r="V289" s="31"/>
      <c r="W289"/>
    </row>
    <row r="290" spans="8:23" x14ac:dyDescent="0.25">
      <c r="H290" s="31"/>
      <c r="I290" s="31"/>
      <c r="J290" s="31"/>
      <c r="K290" s="31"/>
      <c r="L290" s="62"/>
      <c r="M290" s="62"/>
      <c r="N290" s="62"/>
      <c r="O290" s="62"/>
      <c r="P290" s="31"/>
      <c r="Q290" s="31"/>
      <c r="R290" s="31"/>
      <c r="S290" s="31"/>
      <c r="T290" s="31"/>
      <c r="U290" s="31"/>
      <c r="V290" s="31"/>
      <c r="W290"/>
    </row>
    <row r="291" spans="8:23" x14ac:dyDescent="0.25">
      <c r="H291" s="31"/>
      <c r="I291" s="31"/>
      <c r="J291" s="31"/>
      <c r="K291" s="31"/>
      <c r="L291" s="62"/>
      <c r="M291" s="62"/>
      <c r="N291" s="62"/>
      <c r="O291" s="62"/>
      <c r="P291" s="31"/>
      <c r="Q291" s="31"/>
      <c r="R291" s="31"/>
      <c r="S291" s="31"/>
      <c r="T291" s="31"/>
      <c r="U291" s="31"/>
      <c r="V291" s="31"/>
      <c r="W291"/>
    </row>
    <row r="292" spans="8:23" x14ac:dyDescent="0.25">
      <c r="H292" s="31"/>
      <c r="I292" s="31"/>
      <c r="J292" s="31"/>
      <c r="K292" s="31"/>
      <c r="L292" s="62"/>
      <c r="M292" s="62"/>
      <c r="N292" s="62"/>
      <c r="O292" s="62"/>
      <c r="P292" s="31"/>
      <c r="Q292" s="31"/>
      <c r="R292" s="31"/>
      <c r="S292" s="31"/>
      <c r="T292" s="31"/>
      <c r="U292" s="31"/>
      <c r="V292" s="31"/>
      <c r="W292"/>
    </row>
    <row r="293" spans="8:23" x14ac:dyDescent="0.25">
      <c r="H293" s="31"/>
      <c r="I293" s="31"/>
      <c r="J293" s="31"/>
      <c r="K293" s="31"/>
      <c r="L293" s="62"/>
      <c r="M293" s="62"/>
      <c r="N293" s="62"/>
      <c r="O293" s="62"/>
      <c r="P293" s="31"/>
      <c r="Q293" s="31"/>
      <c r="R293" s="31"/>
      <c r="S293" s="31"/>
      <c r="T293" s="31"/>
      <c r="U293" s="31"/>
      <c r="V293" s="31"/>
      <c r="W293"/>
    </row>
    <row r="294" spans="8:23" x14ac:dyDescent="0.25">
      <c r="H294" s="31"/>
      <c r="I294" s="31"/>
      <c r="J294" s="31"/>
      <c r="K294" s="31"/>
      <c r="L294" s="62"/>
      <c r="M294" s="62"/>
      <c r="N294" s="62"/>
      <c r="O294" s="62"/>
      <c r="P294" s="31"/>
      <c r="Q294" s="31"/>
      <c r="R294" s="31"/>
      <c r="S294" s="31"/>
      <c r="T294" s="31"/>
      <c r="U294" s="31"/>
      <c r="V294" s="31"/>
      <c r="W294"/>
    </row>
    <row r="295" spans="8:23" x14ac:dyDescent="0.25">
      <c r="H295" s="31"/>
      <c r="I295" s="31"/>
      <c r="J295" s="31"/>
      <c r="K295" s="31"/>
      <c r="L295" s="62"/>
      <c r="M295" s="62"/>
      <c r="N295" s="62"/>
      <c r="O295" s="62"/>
      <c r="P295" s="31"/>
      <c r="Q295" s="31"/>
      <c r="R295" s="31"/>
      <c r="S295" s="31"/>
      <c r="T295" s="31"/>
      <c r="U295" s="31"/>
      <c r="V295" s="31"/>
      <c r="W295"/>
    </row>
    <row r="296" spans="8:23" x14ac:dyDescent="0.25">
      <c r="H296" s="31"/>
      <c r="I296" s="31"/>
      <c r="J296" s="31"/>
      <c r="K296" s="31"/>
      <c r="L296" s="62"/>
      <c r="M296" s="62"/>
      <c r="N296" s="62"/>
      <c r="O296" s="62"/>
      <c r="P296" s="31"/>
      <c r="Q296" s="31"/>
      <c r="R296" s="31"/>
      <c r="S296" s="31"/>
      <c r="T296" s="31"/>
      <c r="U296" s="31"/>
      <c r="V296" s="31"/>
      <c r="W296"/>
    </row>
    <row r="297" spans="8:23" x14ac:dyDescent="0.25">
      <c r="W297"/>
    </row>
    <row r="298" spans="8:23" x14ac:dyDescent="0.25">
      <c r="W298"/>
    </row>
    <row r="299" spans="8:23" x14ac:dyDescent="0.25">
      <c r="W299"/>
    </row>
  </sheetData>
  <autoFilter ref="B118:U152" xr:uid="{47764B01-43AD-4B41-8C90-1F42582D43ED}"/>
  <pageMargins left="0.7" right="0.7" top="0.75" bottom="0.75" header="0.3" footer="0.3"/>
  <pageSetup scale="46" fitToHeight="0" orientation="landscape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2:T63"/>
  <sheetViews>
    <sheetView zoomScale="80" zoomScaleNormal="80" workbookViewId="0">
      <selection activeCell="B6" sqref="B6"/>
    </sheetView>
  </sheetViews>
  <sheetFormatPr defaultColWidth="9.28515625" defaultRowHeight="15" x14ac:dyDescent="0.25"/>
  <cols>
    <col min="1" max="1" customWidth="true" style="2" width="4.5703125" collapsed="false"/>
    <col min="2" max="2" bestFit="true" customWidth="true" style="2" width="38.5703125" collapsed="false"/>
    <col min="3" max="3" customWidth="true" style="2" width="2.5703125" collapsed="false"/>
    <col min="4" max="4" customWidth="true" style="2" width="15.0" collapsed="false"/>
    <col min="5" max="6" bestFit="true" customWidth="true" style="2" width="17.28515625" collapsed="false"/>
    <col min="7" max="7" customWidth="true" style="2" width="13.7109375" collapsed="false"/>
    <col min="8" max="8" customWidth="true" style="2" width="3.5703125" collapsed="false"/>
    <col min="9" max="9" customWidth="true" style="2" width="3.7109375" collapsed="false"/>
    <col min="10" max="10" bestFit="true" customWidth="true" style="2" width="19.5703125" collapsed="false"/>
    <col min="11" max="11" customWidth="true" style="2" width="17.140625" collapsed="false"/>
    <col min="12" max="12" customWidth="true" style="2" width="16.42578125" collapsed="false"/>
    <col min="13" max="13" customWidth="true" style="2" width="16.140625" collapsed="false"/>
    <col min="14" max="14" customWidth="true" style="2" width="16.5703125" collapsed="false"/>
    <col min="15" max="15" customWidth="true" style="2" width="16.140625" collapsed="false"/>
    <col min="16" max="16" customWidth="true" style="2" width="16.85546875" collapsed="false"/>
    <col min="17" max="17" customWidth="true" style="2" width="16.5703125" collapsed="false"/>
    <col min="18" max="18" customWidth="true" style="2" width="4.5703125" collapsed="false"/>
    <col min="19" max="19" customWidth="true" style="2" width="12.85546875" collapsed="false"/>
    <col min="20" max="20" bestFit="true" customWidth="true" style="2" width="19.140625" collapsed="false"/>
    <col min="21" max="21" customWidth="true" style="2" width="13.28515625" collapsed="false"/>
    <col min="22" max="22" bestFit="true" customWidth="true" style="2" width="16.7109375" collapsed="false"/>
    <col min="23" max="23" bestFit="true" customWidth="true" style="2" width="13.0" collapsed="false"/>
    <col min="24" max="24" bestFit="true" customWidth="true" style="2" width="13.42578125" collapsed="false"/>
    <col min="25" max="25" customWidth="true" style="2" width="11.7109375" collapsed="false"/>
    <col min="26" max="16384" style="2" width="9.28515625" collapsed="false"/>
  </cols>
  <sheetData>
    <row r="2" spans="1:20" x14ac:dyDescent="0.25">
      <c r="A2" s="1" t="s">
        <v>7563</v>
      </c>
    </row>
    <row r="3" spans="1:20" x14ac:dyDescent="0.25">
      <c r="A3" s="1" t="s">
        <v>7179</v>
      </c>
    </row>
    <row r="4" spans="1:20" x14ac:dyDescent="0.25">
      <c r="A4" s="222" t="s">
        <v>8112</v>
      </c>
      <c r="B4" s="224"/>
      <c r="C4" s="224"/>
      <c r="D4" s="224"/>
      <c r="E4" s="224"/>
      <c r="F4" s="224"/>
    </row>
    <row r="5" spans="1:20" x14ac:dyDescent="0.25">
      <c r="A5" s="210" t="s">
        <v>8111</v>
      </c>
    </row>
    <row r="6" spans="1:20" x14ac:dyDescent="0.25">
      <c r="A6" s="210" t="s">
        <v>8113</v>
      </c>
      <c r="Q6" s="6"/>
    </row>
    <row r="8" spans="1:20" x14ac:dyDescent="0.25">
      <c r="D8" s="39"/>
      <c r="E8" s="39" t="s">
        <v>7171</v>
      </c>
      <c r="F8" s="39" t="s">
        <v>7172</v>
      </c>
      <c r="G8" s="39" t="s">
        <v>7173</v>
      </c>
      <c r="J8"/>
      <c r="K8" s="36"/>
      <c r="L8" s="36"/>
      <c r="M8" s="36"/>
      <c r="N8" s="36"/>
      <c r="O8" s="36"/>
      <c r="P8" s="36" t="s">
        <v>7042</v>
      </c>
      <c r="Q8" s="36"/>
      <c r="S8" s="36" t="s">
        <v>7181</v>
      </c>
      <c r="T8" s="11"/>
    </row>
    <row r="9" spans="1:20" x14ac:dyDescent="0.25">
      <c r="B9" s="1" t="s">
        <v>8110</v>
      </c>
      <c r="D9" s="185" t="s">
        <v>7137</v>
      </c>
      <c r="E9" s="185" t="s">
        <v>64</v>
      </c>
      <c r="F9" s="185" t="s">
        <v>7114</v>
      </c>
      <c r="G9" s="185" t="s">
        <v>6967</v>
      </c>
      <c r="J9" s="66" t="s">
        <v>7174</v>
      </c>
      <c r="K9" s="75" t="s">
        <v>65</v>
      </c>
      <c r="L9" s="75" t="s">
        <v>70</v>
      </c>
      <c r="M9" s="75" t="s">
        <v>66</v>
      </c>
      <c r="N9" s="75" t="s">
        <v>8124</v>
      </c>
      <c r="O9" s="75" t="s">
        <v>8125</v>
      </c>
      <c r="P9" s="75" t="s">
        <v>7044</v>
      </c>
      <c r="Q9" s="185" t="s">
        <v>7152</v>
      </c>
      <c r="S9" s="75" t="s">
        <v>8127</v>
      </c>
      <c r="T9" s="151" t="s">
        <v>8126</v>
      </c>
    </row>
    <row r="10" spans="1:20" x14ac:dyDescent="0.25">
      <c r="J10" t="s">
        <v>7182</v>
      </c>
      <c r="K10" s="3">
        <f>+Summary!F43</f>
        <v>28097801.32725399</v>
      </c>
      <c r="L10" s="3">
        <f>+Summary!G43</f>
        <v>9141816.4471132811</v>
      </c>
      <c r="M10" s="3">
        <f>+Summary!H43</f>
        <v>3184572.3726167749</v>
      </c>
      <c r="N10" s="3">
        <f>+Summary!I43</f>
        <v>1304297.6690122127</v>
      </c>
      <c r="O10" s="3">
        <f>+Summary!J43</f>
        <v>47711.184003742135</v>
      </c>
      <c r="P10" s="3">
        <f>+Summary!K43</f>
        <v>1090320</v>
      </c>
      <c r="Q10" s="77">
        <f>SUM(K10:P10)</f>
        <v>42866519</v>
      </c>
      <c r="S10" s="3">
        <f>F29</f>
        <v>984251</v>
      </c>
      <c r="T10" s="3">
        <f>SUM(Q10:S10)</f>
        <v>43850770</v>
      </c>
    </row>
    <row r="11" spans="1:20" x14ac:dyDescent="0.25">
      <c r="B11" t="s">
        <v>8114</v>
      </c>
      <c r="C11"/>
      <c r="D11" s="119">
        <v>2536778.5250787111</v>
      </c>
      <c r="E11" s="3">
        <v>25459871</v>
      </c>
      <c r="F11" s="3">
        <v>27687330.390000001</v>
      </c>
      <c r="G11" s="41">
        <f>+F11/E11-1</f>
        <v>8.7489028911419187E-2</v>
      </c>
      <c r="J11" t="s">
        <v>7176</v>
      </c>
      <c r="K11" s="3">
        <f>+F11+F18+F31+F32</f>
        <v>28087907.791196492</v>
      </c>
      <c r="L11" s="3">
        <f>+F12+F19</f>
        <v>9524071.0200000014</v>
      </c>
      <c r="M11" s="3">
        <f>+F13</f>
        <v>3182118.07</v>
      </c>
      <c r="N11" s="3">
        <f>+F14+F20</f>
        <v>932640.19000000006</v>
      </c>
      <c r="O11" s="3">
        <f>+F15</f>
        <v>49398.209999999992</v>
      </c>
      <c r="P11" s="3">
        <f>+F25</f>
        <v>1090320</v>
      </c>
      <c r="Q11" s="77">
        <f>SUM(K11:P11)</f>
        <v>42866455.28119649</v>
      </c>
      <c r="S11" s="3">
        <f>+F29</f>
        <v>984251</v>
      </c>
      <c r="T11" s="3">
        <f>SUM(Q11:S11)</f>
        <v>43850706.28119649</v>
      </c>
    </row>
    <row r="12" spans="1:20" x14ac:dyDescent="0.25">
      <c r="B12" t="s">
        <v>8115</v>
      </c>
      <c r="C12"/>
      <c r="D12" s="119">
        <v>1394792.5911589034</v>
      </c>
      <c r="E12" s="119">
        <v>9412561</v>
      </c>
      <c r="F12" s="119">
        <v>9458817.6400000006</v>
      </c>
      <c r="G12" s="41">
        <f>+F12/E12-1</f>
        <v>4.9143522150880692E-3</v>
      </c>
      <c r="J12" t="s">
        <v>6997</v>
      </c>
      <c r="K12" s="3">
        <f>+K11-K10</f>
        <v>-9893.536057498306</v>
      </c>
      <c r="L12" s="3">
        <f t="shared" ref="L12:S12" si="0">+L11-L10</f>
        <v>382254.5728867203</v>
      </c>
      <c r="M12" s="3">
        <f t="shared" si="0"/>
        <v>-2454.3026167750359</v>
      </c>
      <c r="N12" s="3">
        <f t="shared" si="0"/>
        <v>-371657.4790122126</v>
      </c>
      <c r="O12" s="3">
        <f t="shared" si="0"/>
        <v>1687.0259962578566</v>
      </c>
      <c r="P12" s="3">
        <f t="shared" si="0"/>
        <v>0</v>
      </c>
      <c r="Q12" s="3">
        <f t="shared" si="0"/>
        <v>-63.718803510069847</v>
      </c>
      <c r="S12" s="3">
        <f t="shared" si="0"/>
        <v>0</v>
      </c>
      <c r="T12" s="3">
        <f t="shared" ref="T12" si="1">+T11-T10</f>
        <v>-63.718803510069847</v>
      </c>
    </row>
    <row r="13" spans="1:20" x14ac:dyDescent="0.25">
      <c r="B13" t="s">
        <v>8116</v>
      </c>
      <c r="C13"/>
      <c r="D13" s="119">
        <v>879648.22897202766</v>
      </c>
      <c r="E13" s="119">
        <v>3260588</v>
      </c>
      <c r="F13" s="119">
        <v>3182118.07</v>
      </c>
      <c r="G13" s="41">
        <f t="shared" ref="G13:G16" si="2">+F13/E13-1</f>
        <v>-2.4066189901944091E-2</v>
      </c>
    </row>
    <row r="14" spans="1:20" x14ac:dyDescent="0.25">
      <c r="B14" t="s">
        <v>8117</v>
      </c>
      <c r="C14"/>
      <c r="D14" s="119">
        <v>144092.87210658824</v>
      </c>
      <c r="E14" s="119">
        <v>946118</v>
      </c>
      <c r="F14" s="119">
        <v>932390.89</v>
      </c>
      <c r="G14" s="41">
        <f t="shared" si="2"/>
        <v>-1.4508877328197944E-2</v>
      </c>
    </row>
    <row r="15" spans="1:20" x14ac:dyDescent="0.25">
      <c r="B15" t="s">
        <v>8118</v>
      </c>
      <c r="C15"/>
      <c r="D15" s="136">
        <v>7398.8266376612646</v>
      </c>
      <c r="E15" s="136">
        <v>48654</v>
      </c>
      <c r="F15" s="136">
        <v>49398.209999999992</v>
      </c>
      <c r="G15" s="184">
        <f t="shared" si="2"/>
        <v>1.5295967443581082E-2</v>
      </c>
    </row>
    <row r="16" spans="1:20" x14ac:dyDescent="0.25">
      <c r="B16"/>
      <c r="C16"/>
      <c r="D16" s="119">
        <f>SUM(D11:D15)</f>
        <v>4962711.0439538918</v>
      </c>
      <c r="E16" s="3">
        <f>SUM(E11:E15)</f>
        <v>39127792</v>
      </c>
      <c r="F16" s="3">
        <f>SUM(F11:F15)</f>
        <v>41310055.200000003</v>
      </c>
      <c r="G16" s="41">
        <f t="shared" si="2"/>
        <v>5.5772715209690515E-2</v>
      </c>
    </row>
    <row r="17" spans="2:17" x14ac:dyDescent="0.25">
      <c r="B17"/>
      <c r="C17"/>
      <c r="D17" s="119"/>
      <c r="E17" s="3"/>
      <c r="F17" s="3"/>
    </row>
    <row r="18" spans="2:17" x14ac:dyDescent="0.25">
      <c r="B18" t="s">
        <v>8119</v>
      </c>
      <c r="C18"/>
      <c r="D18" s="119">
        <v>25973.476932125825</v>
      </c>
      <c r="E18" s="3">
        <v>193986</v>
      </c>
      <c r="F18" s="3">
        <v>294433.14999999997</v>
      </c>
      <c r="G18" s="41">
        <f>+F18/E18-1</f>
        <v>0.51780618188941463</v>
      </c>
    </row>
    <row r="19" spans="2:17" x14ac:dyDescent="0.25">
      <c r="B19" t="s">
        <v>8120</v>
      </c>
      <c r="C19"/>
      <c r="D19" s="119">
        <v>8784.1457131736606</v>
      </c>
      <c r="E19" s="119">
        <v>57066</v>
      </c>
      <c r="F19" s="119">
        <v>65253.380000000005</v>
      </c>
      <c r="G19" s="41">
        <f t="shared" ref="G19:G21" si="3">+F19/E19-1</f>
        <v>0.14347212000140197</v>
      </c>
      <c r="J19" s="49" t="s">
        <v>8225</v>
      </c>
      <c r="K19" s="252" t="s">
        <v>8226</v>
      </c>
      <c r="L19" s="252" t="s">
        <v>8227</v>
      </c>
      <c r="M19" s="252" t="s">
        <v>8228</v>
      </c>
      <c r="N19" s="252" t="s">
        <v>6996</v>
      </c>
      <c r="O19" s="252" t="s">
        <v>8233</v>
      </c>
    </row>
    <row r="20" spans="2:17" x14ac:dyDescent="0.25">
      <c r="B20" t="s">
        <v>8121</v>
      </c>
      <c r="C20"/>
      <c r="D20" s="136">
        <v>12</v>
      </c>
      <c r="E20" s="136">
        <v>191</v>
      </c>
      <c r="F20" s="136">
        <v>249.3</v>
      </c>
      <c r="G20" s="184">
        <f t="shared" si="3"/>
        <v>0.30523560209424083</v>
      </c>
      <c r="J20" s="2" t="s">
        <v>8221</v>
      </c>
      <c r="K20" s="31">
        <v>3049966.6889155009</v>
      </c>
      <c r="L20" s="31">
        <v>27201.14299123385</v>
      </c>
      <c r="M20" s="31">
        <f>D31+D32</f>
        <v>10472.06659726848</v>
      </c>
      <c r="N20" s="31">
        <f>SUM(K20:M20)</f>
        <v>3087639.8985040034</v>
      </c>
      <c r="O20" s="302">
        <f>ROUND($P$20*$P$24,3)</f>
        <v>6.7750000000000004</v>
      </c>
      <c r="P20" s="254">
        <v>1</v>
      </c>
      <c r="Q20" t="s">
        <v>8231</v>
      </c>
    </row>
    <row r="21" spans="2:17" x14ac:dyDescent="0.25">
      <c r="B21"/>
      <c r="C21"/>
      <c r="D21" s="230">
        <f>SUM(D18:D20)</f>
        <v>34769.622645299489</v>
      </c>
      <c r="E21" s="181">
        <f>SUM(E18:E20)</f>
        <v>251243</v>
      </c>
      <c r="F21" s="181">
        <f>SUM(F18:F20)</f>
        <v>359935.82999999996</v>
      </c>
      <c r="G21" s="41">
        <f t="shared" si="3"/>
        <v>0.432620331710734</v>
      </c>
      <c r="J21" s="2" t="s">
        <v>8222</v>
      </c>
      <c r="K21" s="31">
        <v>1109862.7910486504</v>
      </c>
      <c r="L21" s="31">
        <v>6680.0044367032442</v>
      </c>
      <c r="M21" s="31"/>
      <c r="N21" s="31">
        <f>SUM(K21:M21)</f>
        <v>1116542.7954853536</v>
      </c>
      <c r="O21" s="302">
        <f>ROUND($P$21*$P$24,3)</f>
        <v>3.7189999999999999</v>
      </c>
      <c r="P21" s="254">
        <v>0.54900000000000004</v>
      </c>
      <c r="Q21" t="s">
        <v>8231</v>
      </c>
    </row>
    <row r="22" spans="2:17" x14ac:dyDescent="0.25">
      <c r="B22"/>
      <c r="C22"/>
      <c r="D22" s="119"/>
      <c r="E22" s="3"/>
      <c r="F22" s="3"/>
      <c r="J22" s="2" t="s">
        <v>8223</v>
      </c>
      <c r="K22" s="31">
        <v>675066.91922336223</v>
      </c>
      <c r="L22" s="31">
        <v>888.47521736239287</v>
      </c>
      <c r="M22" s="31"/>
      <c r="N22" s="31">
        <f>SUM(K22:M22)</f>
        <v>675955.39444072463</v>
      </c>
      <c r="O22" s="302">
        <f>ROUND($P$22*$P$24,3)</f>
        <v>3.3879999999999999</v>
      </c>
      <c r="P22" s="254">
        <v>0.5</v>
      </c>
      <c r="Q22" t="s">
        <v>8231</v>
      </c>
    </row>
    <row r="23" spans="2:17" x14ac:dyDescent="0.25">
      <c r="B23" t="s">
        <v>8123</v>
      </c>
      <c r="C23"/>
      <c r="D23" s="231">
        <f>+D16+D21</f>
        <v>4997480.6665991917</v>
      </c>
      <c r="E23" s="183">
        <f>+E16+E21</f>
        <v>39379035</v>
      </c>
      <c r="F23" s="183">
        <f>+F16+F21</f>
        <v>41669991.030000001</v>
      </c>
      <c r="G23" s="52">
        <f t="shared" ref="G23" si="4">+G16+G21</f>
        <v>0.48839304692042451</v>
      </c>
      <c r="J23" s="49" t="s">
        <v>8224</v>
      </c>
      <c r="K23" s="253">
        <v>127814.64476637785</v>
      </c>
      <c r="L23" s="253">
        <v>0</v>
      </c>
      <c r="M23" s="253"/>
      <c r="N23" s="253">
        <f>SUM(K23:M23)</f>
        <v>127814.64476637785</v>
      </c>
      <c r="O23" s="303">
        <f>ROUND($P$23*$P$24,3)+0.002</f>
        <v>2.3729999999999998</v>
      </c>
      <c r="P23" s="254">
        <v>0.35</v>
      </c>
      <c r="Q23" t="s">
        <v>8231</v>
      </c>
    </row>
    <row r="24" spans="2:17" x14ac:dyDescent="0.25">
      <c r="B24"/>
      <c r="C24"/>
      <c r="D24" s="119"/>
      <c r="E24" s="3"/>
      <c r="F24" s="3"/>
      <c r="P24" s="301">
        <f>N27/((P20*N20)+(P21*N21)+(P22*N22)+(P23*N23))</f>
        <v>6.7750232673375725</v>
      </c>
      <c r="Q24" t="s">
        <v>8232</v>
      </c>
    </row>
    <row r="25" spans="2:17" x14ac:dyDescent="0.25">
      <c r="B25" t="s">
        <v>68</v>
      </c>
      <c r="C25"/>
      <c r="D25" s="119"/>
      <c r="E25" s="3">
        <v>1090320</v>
      </c>
      <c r="F25" s="3">
        <v>1090320</v>
      </c>
      <c r="G25" s="41">
        <f t="shared" ref="G25" si="5">+F25/E25-1</f>
        <v>0</v>
      </c>
      <c r="J25" s="2" t="s">
        <v>8229</v>
      </c>
      <c r="K25" s="154">
        <v>13928520.289999999</v>
      </c>
      <c r="L25" s="154">
        <v>147795</v>
      </c>
      <c r="M25" s="154">
        <v>35196</v>
      </c>
      <c r="N25" s="154">
        <f>SUM(K25:M25)</f>
        <v>14111511.289999999</v>
      </c>
    </row>
    <row r="26" spans="2:17" x14ac:dyDescent="0.25">
      <c r="B26"/>
      <c r="C26"/>
      <c r="D26" s="119"/>
      <c r="E26" s="3"/>
      <c r="F26" s="3"/>
    </row>
    <row r="27" spans="2:17" x14ac:dyDescent="0.25">
      <c r="B27" s="1" t="s">
        <v>8122</v>
      </c>
      <c r="C27"/>
      <c r="D27" s="231">
        <f>+D23+D25</f>
        <v>4997480.6665991917</v>
      </c>
      <c r="E27" s="183">
        <f t="shared" ref="E27:G27" si="6">+E23+E25</f>
        <v>40469355</v>
      </c>
      <c r="F27" s="183">
        <f t="shared" si="6"/>
        <v>42760311.030000001</v>
      </c>
      <c r="G27" s="182">
        <f t="shared" si="6"/>
        <v>0.48839304692042451</v>
      </c>
      <c r="J27" s="2" t="s">
        <v>8230</v>
      </c>
      <c r="N27" s="6">
        <f>SUM(K10:O10)-N25</f>
        <v>27664687.710000001</v>
      </c>
    </row>
    <row r="28" spans="2:17" x14ac:dyDescent="0.25">
      <c r="C28"/>
      <c r="D28" s="119"/>
      <c r="E28" s="3"/>
      <c r="F28" s="3"/>
    </row>
    <row r="29" spans="2:17" x14ac:dyDescent="0.25">
      <c r="B29" s="2" t="s">
        <v>6966</v>
      </c>
      <c r="D29" s="119"/>
      <c r="E29" s="96">
        <v>984251.3</v>
      </c>
      <c r="F29" s="96">
        <v>984251</v>
      </c>
      <c r="G29" s="41">
        <f t="shared" ref="G29:G32" si="7">+F29/E29-1</f>
        <v>-3.0480020707379651E-7</v>
      </c>
      <c r="H29" s="154"/>
    </row>
    <row r="30" spans="2:17" x14ac:dyDescent="0.25">
      <c r="D30" s="119"/>
      <c r="E30" s="96"/>
      <c r="F30" s="96"/>
      <c r="G30" s="41"/>
      <c r="H30" s="154"/>
      <c r="N30" s="6"/>
    </row>
    <row r="31" spans="2:17" x14ac:dyDescent="0.25">
      <c r="B31" s="2" t="s">
        <v>8157</v>
      </c>
      <c r="D31" s="119">
        <v>6176.066597268481</v>
      </c>
      <c r="E31" s="96">
        <v>56345</v>
      </c>
      <c r="F31" s="96">
        <v>62002.851196493953</v>
      </c>
      <c r="G31" s="41">
        <f t="shared" si="7"/>
        <v>0.10041443245175175</v>
      </c>
      <c r="H31" s="154"/>
    </row>
    <row r="32" spans="2:17" x14ac:dyDescent="0.25">
      <c r="B32" s="2" t="s">
        <v>8158</v>
      </c>
      <c r="D32" s="119">
        <v>4296</v>
      </c>
      <c r="E32" s="96">
        <v>40168</v>
      </c>
      <c r="F32" s="96">
        <v>44141.4</v>
      </c>
      <c r="G32" s="41">
        <f t="shared" si="7"/>
        <v>9.8919537940649338E-2</v>
      </c>
      <c r="H32" s="154"/>
    </row>
    <row r="33" spans="2:18" x14ac:dyDescent="0.25">
      <c r="D33" s="119"/>
      <c r="E33" s="96"/>
      <c r="F33" s="96"/>
      <c r="G33" s="41"/>
      <c r="H33" s="154"/>
    </row>
    <row r="34" spans="2:18" ht="19.899999999999999" customHeight="1" x14ac:dyDescent="0.25">
      <c r="B34" s="1" t="s">
        <v>8159</v>
      </c>
      <c r="D34" s="119"/>
      <c r="E34" s="77">
        <f>+E27+E29+E31+E32</f>
        <v>41550119.299999997</v>
      </c>
      <c r="F34" s="77">
        <f>+F27+F29+F31+F32</f>
        <v>43850706.281196497</v>
      </c>
      <c r="G34" s="240">
        <f>+F34/E34-1</f>
        <v>5.536896211021225E-2</v>
      </c>
    </row>
    <row r="35" spans="2:18" ht="19.899999999999999" customHeight="1" x14ac:dyDescent="0.25"/>
    <row r="36" spans="2:18" x14ac:dyDescent="0.25">
      <c r="D36" s="300"/>
      <c r="H36" s="154"/>
    </row>
    <row r="37" spans="2:18" x14ac:dyDescent="0.25">
      <c r="D37" s="300"/>
      <c r="H37" s="154"/>
    </row>
    <row r="38" spans="2:18" x14ac:dyDescent="0.25">
      <c r="D38" s="300"/>
    </row>
    <row r="40" spans="2:18" x14ac:dyDescent="0.25">
      <c r="F40" s="3"/>
    </row>
    <row r="47" spans="2:18" x14ac:dyDescent="0.25">
      <c r="J47" s="1" t="s">
        <v>7180</v>
      </c>
    </row>
    <row r="48" spans="2:18" x14ac:dyDescent="0.25">
      <c r="K48" s="11"/>
      <c r="L48" s="11"/>
      <c r="M48" s="11"/>
      <c r="N48" s="11"/>
      <c r="O48" s="11"/>
      <c r="P48" s="11" t="s">
        <v>7042</v>
      </c>
      <c r="R48" s="11"/>
    </row>
    <row r="49" spans="10:18" x14ac:dyDescent="0.25">
      <c r="J49" s="152" t="s">
        <v>7141</v>
      </c>
      <c r="K49" s="150" t="s">
        <v>65</v>
      </c>
      <c r="L49" s="150" t="s">
        <v>70</v>
      </c>
      <c r="M49" s="150" t="s">
        <v>66</v>
      </c>
      <c r="N49" s="150" t="s">
        <v>8124</v>
      </c>
      <c r="O49" s="150" t="s">
        <v>7</v>
      </c>
      <c r="P49" s="150" t="s">
        <v>7044</v>
      </c>
      <c r="R49" s="190"/>
    </row>
    <row r="50" spans="10:18" x14ac:dyDescent="0.25">
      <c r="J50" t="s">
        <v>7089</v>
      </c>
      <c r="K50" s="31">
        <v>684779.77082226996</v>
      </c>
      <c r="L50" s="31">
        <v>37542.297629522494</v>
      </c>
      <c r="M50" s="31">
        <v>130.32</v>
      </c>
      <c r="N50" s="31">
        <v>811.07080077253727</v>
      </c>
      <c r="O50" s="31">
        <v>14.502986284635464</v>
      </c>
      <c r="P50" s="31"/>
    </row>
    <row r="51" spans="10:18" x14ac:dyDescent="0.25">
      <c r="J51" t="s">
        <v>7090</v>
      </c>
      <c r="K51" s="31">
        <v>2676.7566365415755</v>
      </c>
      <c r="L51" s="31">
        <v>515.05504411227264</v>
      </c>
      <c r="M51" s="31">
        <v>12</v>
      </c>
      <c r="N51" s="31">
        <v>18.003437196443244</v>
      </c>
      <c r="O51" s="31">
        <v>0</v>
      </c>
      <c r="P51" s="31"/>
    </row>
    <row r="52" spans="10:18" x14ac:dyDescent="0.25">
      <c r="J52" t="s">
        <v>7091</v>
      </c>
      <c r="K52" s="31">
        <v>34046.779297324094</v>
      </c>
      <c r="L52" s="31">
        <v>14770.732936102982</v>
      </c>
      <c r="M52" s="31">
        <v>118.08000000000003</v>
      </c>
      <c r="N52" s="31">
        <v>427.17495512579052</v>
      </c>
      <c r="O52" s="31">
        <v>23.570534454994728</v>
      </c>
      <c r="P52" s="31"/>
    </row>
    <row r="53" spans="10:18" x14ac:dyDescent="0.25">
      <c r="J53" t="s">
        <v>7092</v>
      </c>
      <c r="K53" s="31">
        <v>219.0388116662285</v>
      </c>
      <c r="L53" s="31">
        <v>4235.7142584756639</v>
      </c>
      <c r="M53" s="31">
        <v>23.520000000000007</v>
      </c>
      <c r="N53" s="31">
        <v>262.62542343009346</v>
      </c>
      <c r="O53" s="31">
        <v>0</v>
      </c>
      <c r="P53" s="31"/>
    </row>
    <row r="54" spans="10:18" x14ac:dyDescent="0.25">
      <c r="J54" t="s">
        <v>7093</v>
      </c>
      <c r="K54" s="31">
        <v>109.24493536859757</v>
      </c>
      <c r="L54" s="31">
        <v>11591.062319640851</v>
      </c>
      <c r="M54" s="31">
        <v>829.67999999999984</v>
      </c>
      <c r="N54" s="31">
        <v>2116.2453092237429</v>
      </c>
      <c r="O54" s="31">
        <v>56.871104447776119</v>
      </c>
      <c r="P54" s="31">
        <v>26</v>
      </c>
      <c r="Q54" s="2" t="s">
        <v>8129</v>
      </c>
    </row>
    <row r="55" spans="10:18" x14ac:dyDescent="0.25">
      <c r="J55" t="s">
        <v>7094</v>
      </c>
      <c r="K55" s="31">
        <v>0</v>
      </c>
      <c r="L55" s="31">
        <v>11.558740685278281</v>
      </c>
      <c r="M55" s="31">
        <v>60</v>
      </c>
      <c r="N55" s="31">
        <v>26.515052814547406</v>
      </c>
      <c r="O55" s="31">
        <v>13.947879948914434</v>
      </c>
      <c r="P55" s="31">
        <v>4</v>
      </c>
      <c r="Q55" s="2" t="s">
        <v>8130</v>
      </c>
    </row>
    <row r="56" spans="10:18" x14ac:dyDescent="0.25">
      <c r="J56" t="s">
        <v>7095</v>
      </c>
      <c r="K56" s="31">
        <v>0</v>
      </c>
      <c r="L56" s="31">
        <v>76.525486477176884</v>
      </c>
      <c r="M56" s="31">
        <v>106.08000000000003</v>
      </c>
      <c r="N56" s="31">
        <v>17.960484566829713</v>
      </c>
      <c r="O56" s="31">
        <v>0.22389694041867961</v>
      </c>
      <c r="P56" s="31">
        <v>141</v>
      </c>
      <c r="Q56" s="2" t="s">
        <v>8131</v>
      </c>
    </row>
    <row r="57" spans="10:18" x14ac:dyDescent="0.25">
      <c r="J57" t="s">
        <v>7096</v>
      </c>
      <c r="K57" s="31">
        <v>0</v>
      </c>
      <c r="L57" s="31">
        <v>23.69764260213319</v>
      </c>
      <c r="M57" s="31">
        <v>35.52000000000001</v>
      </c>
      <c r="N57" s="31">
        <v>0</v>
      </c>
      <c r="O57" s="31">
        <v>5.275571658615136</v>
      </c>
      <c r="P57" s="31">
        <v>608</v>
      </c>
      <c r="Q57" s="2" t="s">
        <v>8132</v>
      </c>
    </row>
    <row r="58" spans="10:18" x14ac:dyDescent="0.25">
      <c r="J58" t="s">
        <v>7097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395</v>
      </c>
      <c r="Q58" s="2" t="s">
        <v>8133</v>
      </c>
    </row>
    <row r="59" spans="10:18" x14ac:dyDescent="0.25">
      <c r="J59" t="s">
        <v>7098</v>
      </c>
      <c r="K59" s="31">
        <v>0</v>
      </c>
      <c r="L59" s="31">
        <v>0</v>
      </c>
      <c r="M59" s="31">
        <v>23.760000000000005</v>
      </c>
      <c r="N59" s="31">
        <v>0</v>
      </c>
      <c r="O59" s="31">
        <v>0</v>
      </c>
      <c r="P59" s="31">
        <v>22</v>
      </c>
      <c r="Q59" s="2" t="s">
        <v>8134</v>
      </c>
    </row>
    <row r="60" spans="10:18" x14ac:dyDescent="0.25">
      <c r="J60" t="s">
        <v>7099</v>
      </c>
      <c r="K60" s="31"/>
      <c r="L60" s="31"/>
      <c r="M60" s="31"/>
      <c r="N60" s="31"/>
      <c r="O60" s="31"/>
      <c r="P60" s="31">
        <v>7</v>
      </c>
      <c r="Q60" s="2" t="s">
        <v>8135</v>
      </c>
    </row>
    <row r="61" spans="10:18" x14ac:dyDescent="0.25">
      <c r="J61"/>
      <c r="K61" s="31"/>
      <c r="L61" s="31"/>
      <c r="M61" s="31"/>
      <c r="N61" s="31"/>
      <c r="O61" s="31"/>
      <c r="P61" s="31"/>
    </row>
    <row r="62" spans="10:18" x14ac:dyDescent="0.25">
      <c r="J62" s="2" t="s">
        <v>7140</v>
      </c>
      <c r="K62" s="31">
        <v>59947.978395061735</v>
      </c>
      <c r="L62" s="119">
        <v>5456.2993827160508</v>
      </c>
      <c r="M62" s="31">
        <v>83</v>
      </c>
      <c r="N62" s="119">
        <v>298.1913580246914</v>
      </c>
      <c r="O62" s="232">
        <v>12.469135802469134</v>
      </c>
      <c r="P62" s="31">
        <v>1203</v>
      </c>
      <c r="Q62" s="31"/>
      <c r="R62" s="31"/>
    </row>
    <row r="63" spans="10:18" x14ac:dyDescent="0.25">
      <c r="P63" s="31"/>
      <c r="Q63" s="119"/>
      <c r="R63" s="119"/>
    </row>
  </sheetData>
  <pageMargins left="0.7" right="0.7" top="0.75" bottom="0.75" header="0.3" footer="0.3"/>
  <pageSetup scale="80" orientation="portrait" r:id="rId1"/>
  <rowBreaks count="1" manualBreakCount="1">
    <brk id="36" max="16383" man="1"/>
  </rowBreaks>
  <colBreaks count="1" manualBreakCount="1">
    <brk id="8" max="1048575" man="1"/>
  </colBreaks>
  <customProperties>
    <customPr name="_pios_id" r:id="rId2"/>
  </customProperties>
  <drawing r:id="rId5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2:V137"/>
  <sheetViews>
    <sheetView zoomScale="80" zoomScaleNormal="80" workbookViewId="0">
      <selection activeCell="B6" sqref="B6"/>
    </sheetView>
  </sheetViews>
  <sheetFormatPr defaultColWidth="8.7109375" defaultRowHeight="15" x14ac:dyDescent="0.25"/>
  <cols>
    <col min="1" max="1" customWidth="true" style="2" width="4.28515625" collapsed="false"/>
    <col min="2" max="2" bestFit="true" customWidth="true" style="2" width="13.42578125" collapsed="false"/>
    <col min="3" max="3" bestFit="true" customWidth="true" style="2" width="13.85546875" collapsed="false"/>
    <col min="4" max="4" bestFit="true" customWidth="true" style="2" width="13.42578125" collapsed="false"/>
    <col min="5" max="5" bestFit="true" customWidth="true" style="2" width="17.85546875" collapsed="false"/>
    <col min="6" max="6" bestFit="true" customWidth="true" style="2" width="54.42578125" collapsed="false"/>
    <col min="7" max="7" customWidth="true" style="2" width="24.28515625" collapsed="false"/>
    <col min="8" max="8" customWidth="true" style="57" width="24.28515625" collapsed="false"/>
    <col min="9" max="9" customWidth="true" style="2" width="24.28515625" collapsed="false"/>
    <col min="10" max="10" customWidth="true" style="57" width="18.28515625" collapsed="false"/>
    <col min="11" max="12" customWidth="true" style="57" width="16.7109375" collapsed="false"/>
    <col min="13" max="16384" style="2" width="8.7109375" collapsed="false"/>
  </cols>
  <sheetData>
    <row r="2" spans="1:22" x14ac:dyDescent="0.25">
      <c r="A2" s="19" t="s">
        <v>7973</v>
      </c>
      <c r="C2" s="5"/>
      <c r="D2" s="20"/>
      <c r="E2" s="20"/>
      <c r="F2" s="20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x14ac:dyDescent="0.25">
      <c r="A3" s="222" t="s">
        <v>8106</v>
      </c>
      <c r="C3" s="5"/>
      <c r="D3" s="20"/>
      <c r="E3" s="20"/>
      <c r="F3" s="20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25">
      <c r="A4" s="19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x14ac:dyDescent="0.25">
      <c r="B5" s="19"/>
      <c r="C5" s="5"/>
      <c r="D5" s="20"/>
      <c r="E5" s="20"/>
      <c r="F5" s="20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x14ac:dyDescent="0.25">
      <c r="B6" s="19"/>
      <c r="D6" s="11"/>
      <c r="E6" s="11"/>
      <c r="F6" s="11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x14ac:dyDescent="0.25">
      <c r="B7" s="21" t="s">
        <v>6920</v>
      </c>
      <c r="C7" s="21" t="s">
        <v>6875</v>
      </c>
      <c r="D7" s="21" t="s">
        <v>73</v>
      </c>
      <c r="E7" s="281" t="s">
        <v>8137</v>
      </c>
      <c r="F7" s="22" t="s">
        <v>6952</v>
      </c>
      <c r="G7" s="30" t="s">
        <v>8107</v>
      </c>
      <c r="H7" s="30" t="s">
        <v>8108</v>
      </c>
      <c r="I7" s="30" t="s">
        <v>8109</v>
      </c>
      <c r="J7" s="30" t="s">
        <v>6979</v>
      </c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x14ac:dyDescent="0.25">
      <c r="B8" s="23" t="s">
        <v>7187</v>
      </c>
      <c r="C8" s="23" t="s">
        <v>7974</v>
      </c>
      <c r="D8" s="23">
        <v>10130100</v>
      </c>
      <c r="E8" s="91" t="str">
        <f>VLOOKUP(B8,'IA NARUC Table'!D:F,3,FALSE)</f>
        <v>Intangible Plant</v>
      </c>
      <c r="F8" s="223" t="s">
        <v>7975</v>
      </c>
      <c r="G8" s="3">
        <v>37131</v>
      </c>
      <c r="H8" s="3">
        <v>0</v>
      </c>
      <c r="I8" s="158">
        <v>0</v>
      </c>
      <c r="J8" s="58">
        <f>G8-H8</f>
        <v>37131</v>
      </c>
      <c r="K8" s="157"/>
      <c r="L8" s="1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x14ac:dyDescent="0.25">
      <c r="B9" s="23" t="s">
        <v>7188</v>
      </c>
      <c r="C9" s="23" t="s">
        <v>7976</v>
      </c>
      <c r="D9" s="23">
        <v>10130200</v>
      </c>
      <c r="E9" s="91" t="str">
        <f>VLOOKUP(B9,'IA NARUC Table'!D:F,3,FALSE)</f>
        <v>Intangible Plant</v>
      </c>
      <c r="F9" s="223" t="s">
        <v>7977</v>
      </c>
      <c r="G9" s="3">
        <v>0</v>
      </c>
      <c r="H9" s="3">
        <v>0</v>
      </c>
      <c r="I9" s="158">
        <v>0</v>
      </c>
      <c r="J9" s="58">
        <f t="shared" ref="J9:J67" si="0">G9-H9</f>
        <v>0</v>
      </c>
      <c r="K9" s="157"/>
      <c r="L9" s="1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x14ac:dyDescent="0.25">
      <c r="B10" s="23" t="s">
        <v>7240</v>
      </c>
      <c r="C10" s="23" t="s">
        <v>7978</v>
      </c>
      <c r="D10" s="23">
        <v>10133910</v>
      </c>
      <c r="E10" s="91" t="str">
        <f>VLOOKUP(B10,'IA NARUC Table'!D:F,3,FALSE)</f>
        <v>Intangible Plant</v>
      </c>
      <c r="F10" s="223" t="s">
        <v>7979</v>
      </c>
      <c r="G10" s="3">
        <v>1604617</v>
      </c>
      <c r="H10" s="3">
        <v>1384264.5</v>
      </c>
      <c r="I10" s="158">
        <v>69883</v>
      </c>
      <c r="J10" s="58">
        <f t="shared" si="0"/>
        <v>220352.5</v>
      </c>
      <c r="K10" s="157"/>
      <c r="L10" s="1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x14ac:dyDescent="0.25">
      <c r="B11" s="23" t="s">
        <v>7190</v>
      </c>
      <c r="C11" s="23" t="s">
        <v>7980</v>
      </c>
      <c r="D11" s="23">
        <v>10130320</v>
      </c>
      <c r="E11" s="91" t="str">
        <f>VLOOKUP(B11,'IA NARUC Table'!D:F,3,FALSE)</f>
        <v>Source of Supply</v>
      </c>
      <c r="F11" s="223" t="s">
        <v>7981</v>
      </c>
      <c r="G11" s="3">
        <v>24303</v>
      </c>
      <c r="H11" s="3">
        <v>0</v>
      </c>
      <c r="I11" s="158">
        <v>0</v>
      </c>
      <c r="J11" s="58">
        <f t="shared" si="0"/>
        <v>24303</v>
      </c>
      <c r="K11" s="157"/>
      <c r="L11" s="1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5">
      <c r="B12" s="23" t="s">
        <v>7199</v>
      </c>
      <c r="C12" s="23" t="s">
        <v>7982</v>
      </c>
      <c r="D12" s="23">
        <v>10130410</v>
      </c>
      <c r="E12" s="91" t="str">
        <f>VLOOKUP(B12,'IA NARUC Table'!D:F,3,FALSE)</f>
        <v>Source of Supply</v>
      </c>
      <c r="F12" s="223" t="s">
        <v>7983</v>
      </c>
      <c r="G12" s="3">
        <v>1621429</v>
      </c>
      <c r="H12" s="3">
        <v>264035.5</v>
      </c>
      <c r="I12" s="158">
        <v>23024</v>
      </c>
      <c r="J12" s="58">
        <f t="shared" si="0"/>
        <v>1357393.5</v>
      </c>
      <c r="K12" s="157"/>
      <c r="L12" s="1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5">
      <c r="B13" s="23" t="s">
        <v>7210</v>
      </c>
      <c r="C13" s="23" t="s">
        <v>7984</v>
      </c>
      <c r="D13" s="23">
        <v>10130600</v>
      </c>
      <c r="E13" s="91" t="str">
        <f>VLOOKUP(B13,'IA NARUC Table'!D:F,3,FALSE)</f>
        <v>Source of Supply</v>
      </c>
      <c r="F13" s="223" t="s">
        <v>7985</v>
      </c>
      <c r="G13" s="3">
        <v>458107</v>
      </c>
      <c r="H13" s="3">
        <v>407257</v>
      </c>
      <c r="I13" s="158">
        <v>2199</v>
      </c>
      <c r="J13" s="58">
        <f t="shared" si="0"/>
        <v>50850</v>
      </c>
      <c r="K13" s="157"/>
      <c r="L13" s="1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x14ac:dyDescent="0.25">
      <c r="B14" s="23" t="s">
        <v>7211</v>
      </c>
      <c r="C14" s="23" t="s">
        <v>7986</v>
      </c>
      <c r="D14" s="23">
        <v>10130700</v>
      </c>
      <c r="E14" s="91" t="str">
        <f>VLOOKUP(B14,'IA NARUC Table'!D:F,3,FALSE)</f>
        <v>Source of Supply</v>
      </c>
      <c r="F14" s="223" t="s">
        <v>7987</v>
      </c>
      <c r="G14" s="3">
        <v>3760583</v>
      </c>
      <c r="H14" s="3">
        <v>1226074.5</v>
      </c>
      <c r="I14" s="158">
        <v>61112</v>
      </c>
      <c r="J14" s="58">
        <f t="shared" si="0"/>
        <v>2534508.5</v>
      </c>
      <c r="K14" s="158"/>
      <c r="L14" s="1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x14ac:dyDescent="0.25">
      <c r="B15" s="23" t="s">
        <v>7214</v>
      </c>
      <c r="C15" s="23" t="s">
        <v>7988</v>
      </c>
      <c r="D15" s="23">
        <v>10130900</v>
      </c>
      <c r="E15" s="91" t="str">
        <f>VLOOKUP(B15,'IA NARUC Table'!D:F,3,FALSE)</f>
        <v>Source of Supply</v>
      </c>
      <c r="F15" s="223" t="s">
        <v>7989</v>
      </c>
      <c r="G15" s="3">
        <v>106209</v>
      </c>
      <c r="H15" s="3">
        <v>43104</v>
      </c>
      <c r="I15" s="158">
        <v>1933</v>
      </c>
      <c r="J15" s="58">
        <f t="shared" si="0"/>
        <v>63105</v>
      </c>
      <c r="K15" s="158"/>
      <c r="L15" s="1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x14ac:dyDescent="0.25">
      <c r="B16" s="23" t="s">
        <v>7190</v>
      </c>
      <c r="C16" s="23" t="s">
        <v>7990</v>
      </c>
      <c r="D16" s="23">
        <v>10130330</v>
      </c>
      <c r="E16" s="91" t="str">
        <f>VLOOKUP(B16,'IA NARUC Table'!D:F,3,FALSE)</f>
        <v>Source of Supply</v>
      </c>
      <c r="F16" s="223" t="s">
        <v>7991</v>
      </c>
      <c r="G16" s="3">
        <v>261818</v>
      </c>
      <c r="H16" s="3">
        <v>0</v>
      </c>
      <c r="I16" s="158">
        <v>0</v>
      </c>
      <c r="J16" s="58">
        <f t="shared" si="0"/>
        <v>261818</v>
      </c>
      <c r="K16" s="158"/>
      <c r="L16" s="1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2:12" x14ac:dyDescent="0.25">
      <c r="B17" s="23" t="s">
        <v>7199</v>
      </c>
      <c r="C17" s="23" t="s">
        <v>7992</v>
      </c>
      <c r="D17" s="23">
        <v>10130420</v>
      </c>
      <c r="E17" s="91" t="str">
        <f>VLOOKUP(B17,'IA NARUC Table'!D:F,3,FALSE)</f>
        <v>Source of Supply</v>
      </c>
      <c r="F17" s="223" t="s">
        <v>7993</v>
      </c>
      <c r="G17" s="3">
        <v>9055748</v>
      </c>
      <c r="H17" s="3">
        <v>5204983</v>
      </c>
      <c r="I17" s="158">
        <v>122253</v>
      </c>
      <c r="J17" s="58">
        <f t="shared" si="0"/>
        <v>3850765</v>
      </c>
      <c r="K17" s="158"/>
      <c r="L17" s="157"/>
    </row>
    <row r="18" spans="2:12" x14ac:dyDescent="0.25">
      <c r="B18" s="23" t="s">
        <v>7216</v>
      </c>
      <c r="C18" s="286" t="s">
        <v>7994</v>
      </c>
      <c r="D18" s="23">
        <v>10131000</v>
      </c>
      <c r="E18" s="91" t="str">
        <f>VLOOKUP(B18,'IA NARUC Table'!D:F,3,FALSE)</f>
        <v>Pumping</v>
      </c>
      <c r="F18" s="223" t="s">
        <v>7995</v>
      </c>
      <c r="G18" s="3">
        <v>1190524</v>
      </c>
      <c r="H18" s="3">
        <v>589092</v>
      </c>
      <c r="I18" s="158">
        <v>23930</v>
      </c>
      <c r="J18" s="58">
        <f t="shared" si="0"/>
        <v>601432</v>
      </c>
      <c r="K18" s="158"/>
      <c r="L18" s="157"/>
    </row>
    <row r="19" spans="2:12" x14ac:dyDescent="0.25">
      <c r="B19" s="23" t="s">
        <v>7218</v>
      </c>
      <c r="C19" s="287" t="s">
        <v>7996</v>
      </c>
      <c r="D19" s="23">
        <v>10131120</v>
      </c>
      <c r="E19" s="91" t="str">
        <f>VLOOKUP(B19,'IA NARUC Table'!D:F,3,FALSE)</f>
        <v>Pumping</v>
      </c>
      <c r="F19" s="223" t="s">
        <v>7997</v>
      </c>
      <c r="G19" s="3">
        <v>8494014</v>
      </c>
      <c r="H19" s="3">
        <v>3851207</v>
      </c>
      <c r="I19" s="158">
        <v>140151</v>
      </c>
      <c r="J19" s="58">
        <f t="shared" si="0"/>
        <v>4642807</v>
      </c>
      <c r="K19" s="158"/>
      <c r="L19" s="157"/>
    </row>
    <row r="20" spans="2:12" x14ac:dyDescent="0.25">
      <c r="B20" s="23" t="s">
        <v>7218</v>
      </c>
      <c r="C20" s="287" t="s">
        <v>7998</v>
      </c>
      <c r="D20" s="23">
        <v>10131150</v>
      </c>
      <c r="E20" s="91" t="str">
        <f>VLOOKUP(B20,'IA NARUC Table'!D:F,3,FALSE)</f>
        <v>Pumping</v>
      </c>
      <c r="F20" s="223" t="s">
        <v>7999</v>
      </c>
      <c r="G20" s="3">
        <v>206973</v>
      </c>
      <c r="H20" s="3">
        <v>154716.5</v>
      </c>
      <c r="I20" s="158">
        <v>2691</v>
      </c>
      <c r="J20" s="58">
        <f t="shared" si="0"/>
        <v>52256.5</v>
      </c>
      <c r="K20" s="158"/>
      <c r="L20" s="157"/>
    </row>
    <row r="21" spans="2:12" x14ac:dyDescent="0.25">
      <c r="B21" s="23" t="s">
        <v>7193</v>
      </c>
      <c r="C21" s="23" t="s">
        <v>8000</v>
      </c>
      <c r="D21" s="23">
        <v>10130340</v>
      </c>
      <c r="E21" s="91" t="str">
        <f>VLOOKUP(B21,'IA NARUC Table'!D:F,3,FALSE)</f>
        <v>Water Treatment</v>
      </c>
      <c r="F21" s="223" t="s">
        <v>8001</v>
      </c>
      <c r="G21" s="3">
        <v>2874</v>
      </c>
      <c r="H21" s="3">
        <v>0</v>
      </c>
      <c r="I21" s="158">
        <v>0</v>
      </c>
      <c r="J21" s="58">
        <f t="shared" si="0"/>
        <v>2874</v>
      </c>
      <c r="K21" s="158"/>
      <c r="L21" s="157"/>
    </row>
    <row r="22" spans="2:12" x14ac:dyDescent="0.25">
      <c r="B22" s="23" t="s">
        <v>7202</v>
      </c>
      <c r="C22" s="23" t="s">
        <v>8002</v>
      </c>
      <c r="D22" s="23">
        <v>10130430</v>
      </c>
      <c r="E22" s="91" t="str">
        <f>VLOOKUP(B22,'IA NARUC Table'!D:F,3,FALSE)</f>
        <v>Water Treatment</v>
      </c>
      <c r="F22" s="223" t="s">
        <v>8003</v>
      </c>
      <c r="G22" s="3">
        <v>17285616</v>
      </c>
      <c r="H22" s="3">
        <v>5754414</v>
      </c>
      <c r="I22" s="158">
        <v>378334</v>
      </c>
      <c r="J22" s="58">
        <f t="shared" si="0"/>
        <v>11531202</v>
      </c>
      <c r="K22" s="158"/>
      <c r="L22" s="157"/>
    </row>
    <row r="23" spans="2:12" x14ac:dyDescent="0.25">
      <c r="B23" s="23" t="s">
        <v>7226</v>
      </c>
      <c r="C23" s="23" t="s">
        <v>8004</v>
      </c>
      <c r="D23" s="23">
        <v>10131153</v>
      </c>
      <c r="E23" s="91" t="str">
        <f>VLOOKUP(B23,'IA NARUC Table'!D:F,3,FALSE)</f>
        <v>Water Treatment</v>
      </c>
      <c r="F23" s="223" t="s">
        <v>8005</v>
      </c>
      <c r="G23" s="3">
        <v>0</v>
      </c>
      <c r="H23" s="3">
        <v>0</v>
      </c>
      <c r="I23" s="158">
        <v>0</v>
      </c>
      <c r="J23" s="58">
        <f t="shared" si="0"/>
        <v>0</v>
      </c>
      <c r="K23" s="158"/>
      <c r="L23" s="157"/>
    </row>
    <row r="24" spans="2:12" x14ac:dyDescent="0.25">
      <c r="B24" s="23" t="s">
        <v>7230</v>
      </c>
      <c r="C24" s="23" t="s">
        <v>8006</v>
      </c>
      <c r="D24" s="23">
        <v>10132010</v>
      </c>
      <c r="E24" s="91" t="str">
        <f>VLOOKUP(B24,'IA NARUC Table'!D:F,3,FALSE)</f>
        <v>Water Treatment</v>
      </c>
      <c r="F24" s="223" t="s">
        <v>8007</v>
      </c>
      <c r="G24" s="3">
        <v>27361694</v>
      </c>
      <c r="H24" s="3">
        <v>11688230.5</v>
      </c>
      <c r="I24" s="158">
        <v>321519</v>
      </c>
      <c r="J24" s="58">
        <f t="shared" si="0"/>
        <v>15673463.5</v>
      </c>
      <c r="K24" s="158"/>
      <c r="L24" s="157"/>
    </row>
    <row r="25" spans="2:12" x14ac:dyDescent="0.25">
      <c r="B25" s="23" t="s">
        <v>7230</v>
      </c>
      <c r="C25" s="23" t="s">
        <v>8008</v>
      </c>
      <c r="D25" s="23">
        <v>10132010</v>
      </c>
      <c r="E25" s="91" t="str">
        <f>VLOOKUP(B25,'IA NARUC Table'!D:F,3,FALSE)</f>
        <v>Water Treatment</v>
      </c>
      <c r="F25" s="223" t="s">
        <v>8009</v>
      </c>
      <c r="G25" s="3">
        <v>829243</v>
      </c>
      <c r="H25" s="3">
        <v>947108</v>
      </c>
      <c r="I25" s="158">
        <v>103075</v>
      </c>
      <c r="J25" s="58">
        <f t="shared" si="0"/>
        <v>-117865</v>
      </c>
      <c r="K25" s="158"/>
      <c r="L25" s="157"/>
    </row>
    <row r="26" spans="2:12" x14ac:dyDescent="0.25">
      <c r="B26" s="23" t="s">
        <v>7244</v>
      </c>
      <c r="C26" s="23" t="s">
        <v>8010</v>
      </c>
      <c r="D26" s="23">
        <v>10133930</v>
      </c>
      <c r="E26" s="91" t="str">
        <f>VLOOKUP(B26,'IA NARUC Table'!D:F,3,FALSE)</f>
        <v>Water Treatment</v>
      </c>
      <c r="F26" s="223" t="s">
        <v>8011</v>
      </c>
      <c r="G26" s="3">
        <v>49076</v>
      </c>
      <c r="H26" s="3">
        <v>14821</v>
      </c>
      <c r="I26" s="158">
        <v>864</v>
      </c>
      <c r="J26" s="58">
        <f t="shared" si="0"/>
        <v>34255</v>
      </c>
      <c r="K26" s="158"/>
      <c r="L26" s="157"/>
    </row>
    <row r="27" spans="2:12" x14ac:dyDescent="0.25">
      <c r="B27" s="23" t="s">
        <v>7195</v>
      </c>
      <c r="C27" s="23" t="s">
        <v>8012</v>
      </c>
      <c r="D27" s="23">
        <v>10130350</v>
      </c>
      <c r="E27" s="91" t="str">
        <f>VLOOKUP(B27,'IA NARUC Table'!D:F,3,FALSE)</f>
        <v>General Mains</v>
      </c>
      <c r="F27" s="223" t="s">
        <v>8013</v>
      </c>
      <c r="G27" s="3">
        <v>549289</v>
      </c>
      <c r="H27" s="3">
        <v>0</v>
      </c>
      <c r="I27" s="158">
        <v>0</v>
      </c>
      <c r="J27" s="58">
        <f t="shared" si="0"/>
        <v>549289</v>
      </c>
      <c r="K27" s="158"/>
      <c r="L27" s="157"/>
    </row>
    <row r="28" spans="2:12" x14ac:dyDescent="0.25">
      <c r="B28" s="23" t="s">
        <v>7204</v>
      </c>
      <c r="C28" s="23" t="s">
        <v>8014</v>
      </c>
      <c r="D28" s="23">
        <v>10130440</v>
      </c>
      <c r="E28" s="91" t="str">
        <f>VLOOKUP(B28,'IA NARUC Table'!D:F,3,FALSE)</f>
        <v>General Mains</v>
      </c>
      <c r="F28" s="223" t="s">
        <v>8015</v>
      </c>
      <c r="G28" s="3">
        <v>334184</v>
      </c>
      <c r="H28" s="3">
        <v>51067</v>
      </c>
      <c r="I28" s="158">
        <v>7319</v>
      </c>
      <c r="J28" s="58">
        <f t="shared" si="0"/>
        <v>283117</v>
      </c>
      <c r="K28" s="158"/>
      <c r="L28" s="157"/>
    </row>
    <row r="29" spans="2:12" x14ac:dyDescent="0.25">
      <c r="B29" s="23" t="s">
        <v>7232</v>
      </c>
      <c r="C29" s="283" t="s">
        <v>8016</v>
      </c>
      <c r="D29" s="23">
        <v>10133000</v>
      </c>
      <c r="E29" s="91" t="str">
        <f>VLOOKUP(B29,'IA NARUC Table'!D:F,3,FALSE)</f>
        <v>Storage</v>
      </c>
      <c r="F29" s="223" t="s">
        <v>8017</v>
      </c>
      <c r="G29" s="3">
        <v>8795396</v>
      </c>
      <c r="H29" s="3">
        <v>4730347.5</v>
      </c>
      <c r="I29" s="158">
        <v>112581</v>
      </c>
      <c r="J29" s="58">
        <f t="shared" si="0"/>
        <v>4065048.5</v>
      </c>
      <c r="K29" s="158"/>
      <c r="L29" s="157"/>
    </row>
    <row r="30" spans="2:12" x14ac:dyDescent="0.25">
      <c r="B30" s="23" t="s">
        <v>7232</v>
      </c>
      <c r="C30" s="283" t="s">
        <v>8018</v>
      </c>
      <c r="D30" s="23">
        <v>10133000</v>
      </c>
      <c r="E30" s="91" t="str">
        <f>VLOOKUP(B30,'IA NARUC Table'!D:F,3,FALSE)</f>
        <v>Storage</v>
      </c>
      <c r="F30" s="223" t="s">
        <v>8019</v>
      </c>
      <c r="G30" s="3">
        <v>2918519</v>
      </c>
      <c r="H30" s="3">
        <v>687187.5</v>
      </c>
      <c r="I30" s="158">
        <v>44035</v>
      </c>
      <c r="J30" s="58">
        <f t="shared" si="0"/>
        <v>2231331.5</v>
      </c>
      <c r="K30" s="158"/>
      <c r="L30" s="157"/>
    </row>
    <row r="31" spans="2:12" x14ac:dyDescent="0.25">
      <c r="B31" s="23" t="s">
        <v>7232</v>
      </c>
      <c r="C31" s="283" t="s">
        <v>8020</v>
      </c>
      <c r="D31" s="23">
        <v>10133000</v>
      </c>
      <c r="E31" s="91" t="str">
        <f>VLOOKUP(B31,'IA NARUC Table'!D:F,3,FALSE)</f>
        <v>Storage</v>
      </c>
      <c r="F31" s="223" t="s">
        <v>8021</v>
      </c>
      <c r="G31" s="3">
        <v>0</v>
      </c>
      <c r="H31" s="3">
        <v>0</v>
      </c>
      <c r="I31" s="158">
        <v>0</v>
      </c>
      <c r="J31" s="58">
        <f t="shared" si="0"/>
        <v>0</v>
      </c>
      <c r="K31" s="158"/>
      <c r="L31" s="157"/>
    </row>
    <row r="32" spans="2:12" x14ac:dyDescent="0.25">
      <c r="B32" s="23" t="s">
        <v>7232</v>
      </c>
      <c r="C32" s="283" t="s">
        <v>8022</v>
      </c>
      <c r="D32" s="23">
        <v>10133000</v>
      </c>
      <c r="E32" s="91" t="str">
        <f>VLOOKUP(B32,'IA NARUC Table'!D:F,3,FALSE)</f>
        <v>Storage</v>
      </c>
      <c r="F32" s="223" t="s">
        <v>8023</v>
      </c>
      <c r="G32" s="3">
        <v>598118</v>
      </c>
      <c r="H32" s="3">
        <v>168567</v>
      </c>
      <c r="I32" s="158">
        <v>9032</v>
      </c>
      <c r="J32" s="58">
        <f t="shared" si="0"/>
        <v>429551</v>
      </c>
      <c r="K32" s="158"/>
      <c r="L32" s="157"/>
    </row>
    <row r="33" spans="2:12" x14ac:dyDescent="0.25">
      <c r="B33" s="23" t="s">
        <v>7234</v>
      </c>
      <c r="C33" s="282" t="s">
        <v>8024</v>
      </c>
      <c r="D33" s="23">
        <v>10133100</v>
      </c>
      <c r="E33" s="91" t="s">
        <v>6981</v>
      </c>
      <c r="F33" s="223" t="s">
        <v>8025</v>
      </c>
      <c r="G33" s="3">
        <v>3343920</v>
      </c>
      <c r="H33" s="3">
        <v>374565</v>
      </c>
      <c r="I33" s="158">
        <v>41038</v>
      </c>
      <c r="J33" s="58">
        <f t="shared" si="0"/>
        <v>2969355</v>
      </c>
      <c r="K33" s="158"/>
      <c r="L33" s="157"/>
    </row>
    <row r="34" spans="2:12" x14ac:dyDescent="0.25">
      <c r="B34" s="23" t="s">
        <v>7234</v>
      </c>
      <c r="C34" s="282" t="s">
        <v>8026</v>
      </c>
      <c r="D34" s="23">
        <v>10133100</v>
      </c>
      <c r="E34" s="91" t="s">
        <v>6981</v>
      </c>
      <c r="F34" s="223" t="s">
        <v>8027</v>
      </c>
      <c r="G34" s="3">
        <v>80151130</v>
      </c>
      <c r="H34" s="3">
        <v>12958167</v>
      </c>
      <c r="I34" s="158">
        <v>1005574</v>
      </c>
      <c r="J34" s="58">
        <f t="shared" si="0"/>
        <v>67192963</v>
      </c>
      <c r="K34" s="158"/>
      <c r="L34" s="157"/>
    </row>
    <row r="35" spans="2:12" x14ac:dyDescent="0.25">
      <c r="B35" s="23" t="s">
        <v>7234</v>
      </c>
      <c r="C35" s="282" t="s">
        <v>8028</v>
      </c>
      <c r="D35" s="23">
        <v>10133100</v>
      </c>
      <c r="E35" s="91" t="s">
        <v>6980</v>
      </c>
      <c r="F35" s="223" t="s">
        <v>8029</v>
      </c>
      <c r="G35" s="3">
        <v>49144757</v>
      </c>
      <c r="H35" s="3">
        <v>10466301.5</v>
      </c>
      <c r="I35" s="158">
        <v>624138</v>
      </c>
      <c r="J35" s="58">
        <f t="shared" si="0"/>
        <v>38678455.5</v>
      </c>
      <c r="K35" s="158"/>
      <c r="L35" s="157"/>
    </row>
    <row r="36" spans="2:12" x14ac:dyDescent="0.25">
      <c r="B36" s="23" t="s">
        <v>7234</v>
      </c>
      <c r="C36" s="282" t="s">
        <v>8030</v>
      </c>
      <c r="D36" s="23">
        <v>10133100</v>
      </c>
      <c r="E36" s="91" t="s">
        <v>6980</v>
      </c>
      <c r="F36" s="223" t="s">
        <v>8031</v>
      </c>
      <c r="G36" s="3">
        <v>800661</v>
      </c>
      <c r="H36" s="3">
        <v>98895</v>
      </c>
      <c r="I36" s="158">
        <v>10088</v>
      </c>
      <c r="J36" s="58">
        <f t="shared" si="0"/>
        <v>701766</v>
      </c>
      <c r="K36" s="158"/>
      <c r="L36" s="157"/>
    </row>
    <row r="37" spans="2:12" x14ac:dyDescent="0.25">
      <c r="B37" s="23" t="s">
        <v>7235</v>
      </c>
      <c r="C37" s="284" t="s">
        <v>8032</v>
      </c>
      <c r="D37" s="23">
        <v>10133300</v>
      </c>
      <c r="E37" s="91" t="str">
        <f>VLOOKUP(B37,'IA NARUC Table'!D:F,3,FALSE)</f>
        <v>Services</v>
      </c>
      <c r="F37" s="223" t="s">
        <v>8033</v>
      </c>
      <c r="G37" s="3">
        <v>7111998</v>
      </c>
      <c r="H37" s="3">
        <v>2909589</v>
      </c>
      <c r="I37" s="158">
        <v>133148</v>
      </c>
      <c r="J37" s="58">
        <f t="shared" si="0"/>
        <v>4202409</v>
      </c>
      <c r="K37" s="158"/>
      <c r="L37" s="157"/>
    </row>
    <row r="38" spans="2:12" x14ac:dyDescent="0.25">
      <c r="B38" s="23" t="s">
        <v>7236</v>
      </c>
      <c r="C38" s="23" t="s">
        <v>8034</v>
      </c>
      <c r="D38" s="23">
        <v>10133410</v>
      </c>
      <c r="E38" s="91" t="str">
        <f>VLOOKUP(B38,'IA NARUC Table'!D:F,3,FALSE)</f>
        <v>Meters</v>
      </c>
      <c r="F38" s="223" t="s">
        <v>8035</v>
      </c>
      <c r="G38" s="3">
        <v>10414021</v>
      </c>
      <c r="H38" s="3">
        <v>4865872.5</v>
      </c>
      <c r="I38" s="158">
        <v>889808</v>
      </c>
      <c r="J38" s="58">
        <f t="shared" si="0"/>
        <v>5548148.5</v>
      </c>
      <c r="K38" s="158"/>
      <c r="L38" s="157"/>
    </row>
    <row r="39" spans="2:12" x14ac:dyDescent="0.25">
      <c r="B39" s="23" t="s">
        <v>7236</v>
      </c>
      <c r="C39" s="23" t="s">
        <v>8036</v>
      </c>
      <c r="D39" s="23">
        <v>10133410</v>
      </c>
      <c r="E39" s="91" t="str">
        <f>VLOOKUP(B39,'IA NARUC Table'!D:F,3,FALSE)</f>
        <v>Meters</v>
      </c>
      <c r="F39" s="223" t="s">
        <v>8037</v>
      </c>
      <c r="G39" s="3">
        <v>541654</v>
      </c>
      <c r="H39" s="3">
        <v>373853</v>
      </c>
      <c r="I39" s="158">
        <v>31633</v>
      </c>
      <c r="J39" s="58">
        <f t="shared" si="0"/>
        <v>167801</v>
      </c>
      <c r="K39" s="158"/>
      <c r="L39" s="157"/>
    </row>
    <row r="40" spans="2:12" x14ac:dyDescent="0.25">
      <c r="B40" s="23" t="s">
        <v>7236</v>
      </c>
      <c r="C40" s="23" t="s">
        <v>8038</v>
      </c>
      <c r="D40" s="23">
        <v>10133410</v>
      </c>
      <c r="E40" s="91" t="str">
        <f>VLOOKUP(B40,'IA NARUC Table'!D:F,3,FALSE)</f>
        <v>Meters</v>
      </c>
      <c r="F40" s="223" t="s">
        <v>8039</v>
      </c>
      <c r="G40" s="3">
        <v>3777805</v>
      </c>
      <c r="H40" s="3">
        <v>928923</v>
      </c>
      <c r="I40" s="158">
        <v>367580</v>
      </c>
      <c r="J40" s="58">
        <f t="shared" si="0"/>
        <v>2848882</v>
      </c>
      <c r="K40" s="158"/>
      <c r="L40" s="157"/>
    </row>
    <row r="41" spans="2:12" x14ac:dyDescent="0.25">
      <c r="B41" s="23" t="s">
        <v>7236</v>
      </c>
      <c r="C41" s="23" t="s">
        <v>8040</v>
      </c>
      <c r="D41" s="23">
        <v>10133410</v>
      </c>
      <c r="E41" s="91" t="str">
        <f>VLOOKUP(B41,'IA NARUC Table'!D:F,3,FALSE)</f>
        <v>Meters</v>
      </c>
      <c r="F41" s="223" t="s">
        <v>8041</v>
      </c>
      <c r="G41" s="3">
        <v>61581</v>
      </c>
      <c r="H41" s="3">
        <v>78301</v>
      </c>
      <c r="I41" s="158">
        <v>14398</v>
      </c>
      <c r="J41" s="58">
        <f t="shared" si="0"/>
        <v>-16720</v>
      </c>
      <c r="K41" s="158"/>
      <c r="L41" s="157"/>
    </row>
    <row r="42" spans="2:12" x14ac:dyDescent="0.25">
      <c r="B42" s="23" t="s">
        <v>7236</v>
      </c>
      <c r="C42" s="23" t="s">
        <v>8042</v>
      </c>
      <c r="D42" s="23">
        <v>10133420</v>
      </c>
      <c r="E42" s="91" t="str">
        <f>VLOOKUP(B42,'IA NARUC Table'!D:F,3,FALSE)</f>
        <v>Meters</v>
      </c>
      <c r="F42" s="223" t="s">
        <v>8043</v>
      </c>
      <c r="G42" s="3">
        <v>3825874</v>
      </c>
      <c r="H42" s="3">
        <v>1725019</v>
      </c>
      <c r="I42" s="158">
        <v>114766</v>
      </c>
      <c r="J42" s="58">
        <f t="shared" si="0"/>
        <v>2100855</v>
      </c>
      <c r="K42" s="158"/>
      <c r="L42" s="157"/>
    </row>
    <row r="43" spans="2:12" x14ac:dyDescent="0.25">
      <c r="B43" s="23" t="s">
        <v>7237</v>
      </c>
      <c r="C43" s="285" t="s">
        <v>8044</v>
      </c>
      <c r="D43" s="23">
        <v>10133500</v>
      </c>
      <c r="E43" s="91" t="str">
        <f>VLOOKUP(B43,'IA NARUC Table'!D:F,3,FALSE)</f>
        <v>Hydrants</v>
      </c>
      <c r="F43" s="223" t="s">
        <v>8045</v>
      </c>
      <c r="G43" s="3">
        <v>15618796</v>
      </c>
      <c r="H43" s="3">
        <v>4275674.5</v>
      </c>
      <c r="I43" s="158">
        <v>530835</v>
      </c>
      <c r="J43" s="58">
        <f t="shared" si="0"/>
        <v>11343121.5</v>
      </c>
      <c r="K43" s="158"/>
      <c r="L43" s="157"/>
    </row>
    <row r="44" spans="2:12" x14ac:dyDescent="0.25">
      <c r="B44" s="23" t="s">
        <v>7246</v>
      </c>
      <c r="C44" s="23" t="s">
        <v>8046</v>
      </c>
      <c r="D44" s="23">
        <v>10133950</v>
      </c>
      <c r="E44" s="91" t="str">
        <f>VLOOKUP(B44,'IA NARUC Table'!D:F,3,FALSE)</f>
        <v>General Mains</v>
      </c>
      <c r="F44" s="223" t="s">
        <v>8047</v>
      </c>
      <c r="G44" s="3">
        <v>278371</v>
      </c>
      <c r="H44" s="3">
        <v>30484</v>
      </c>
      <c r="I44" s="158">
        <v>7878</v>
      </c>
      <c r="J44" s="58">
        <f t="shared" si="0"/>
        <v>247887</v>
      </c>
      <c r="K44" s="158"/>
      <c r="L44" s="157"/>
    </row>
    <row r="45" spans="2:12" x14ac:dyDescent="0.25">
      <c r="B45" s="23" t="s">
        <v>7197</v>
      </c>
      <c r="C45" s="23" t="s">
        <v>8048</v>
      </c>
      <c r="D45" s="23">
        <v>10130360</v>
      </c>
      <c r="E45" s="91" t="str">
        <f>VLOOKUP(B45,'IA NARUC Table'!D:F,3,FALSE)</f>
        <v>General Plant</v>
      </c>
      <c r="F45" s="223" t="s">
        <v>8049</v>
      </c>
      <c r="G45" s="3">
        <v>15000</v>
      </c>
      <c r="H45" s="3">
        <v>0</v>
      </c>
      <c r="I45" s="158">
        <v>0</v>
      </c>
      <c r="J45" s="58">
        <f t="shared" si="0"/>
        <v>15000</v>
      </c>
      <c r="K45" s="158"/>
      <c r="L45" s="157"/>
    </row>
    <row r="46" spans="2:12" x14ac:dyDescent="0.25">
      <c r="B46" s="23" t="s">
        <v>7206</v>
      </c>
      <c r="C46" s="23" t="s">
        <v>8050</v>
      </c>
      <c r="D46" s="23">
        <v>10130450</v>
      </c>
      <c r="E46" s="91" t="str">
        <f>VLOOKUP(B46,'IA NARUC Table'!D:F,3,FALSE)</f>
        <v>General Plant</v>
      </c>
      <c r="F46" s="223" t="s">
        <v>8051</v>
      </c>
      <c r="G46" s="3">
        <v>1596286</v>
      </c>
      <c r="H46" s="3">
        <v>476822.5</v>
      </c>
      <c r="I46" s="158">
        <v>31766</v>
      </c>
      <c r="J46" s="58">
        <f t="shared" si="0"/>
        <v>1119463.5</v>
      </c>
      <c r="K46" s="158"/>
      <c r="L46" s="157"/>
    </row>
    <row r="47" spans="2:12" x14ac:dyDescent="0.25">
      <c r="B47" s="23" t="s">
        <v>7206</v>
      </c>
      <c r="C47" s="23" t="s">
        <v>8052</v>
      </c>
      <c r="D47" s="23">
        <v>10130450</v>
      </c>
      <c r="E47" s="91" t="str">
        <f>VLOOKUP(B47,'IA NARUC Table'!D:F,3,FALSE)</f>
        <v>General Plant</v>
      </c>
      <c r="F47" s="223" t="s">
        <v>8053</v>
      </c>
      <c r="G47" s="3">
        <v>0</v>
      </c>
      <c r="H47" s="3">
        <v>0</v>
      </c>
      <c r="I47" s="158">
        <v>0</v>
      </c>
      <c r="J47" s="58">
        <f t="shared" si="0"/>
        <v>0</v>
      </c>
      <c r="K47" s="158"/>
      <c r="L47" s="157"/>
    </row>
    <row r="48" spans="2:12" x14ac:dyDescent="0.25">
      <c r="B48" s="23" t="s">
        <v>7206</v>
      </c>
      <c r="C48" s="23" t="s">
        <v>8054</v>
      </c>
      <c r="D48" s="23">
        <v>10130450</v>
      </c>
      <c r="E48" s="91" t="str">
        <f>VLOOKUP(B48,'IA NARUC Table'!D:F,3,FALSE)</f>
        <v>General Plant</v>
      </c>
      <c r="F48" s="223" t="s">
        <v>8055</v>
      </c>
      <c r="G48" s="3">
        <v>493132</v>
      </c>
      <c r="H48" s="3">
        <v>42889.5</v>
      </c>
      <c r="I48" s="158">
        <v>8975</v>
      </c>
      <c r="J48" s="58">
        <f t="shared" si="0"/>
        <v>450242.5</v>
      </c>
      <c r="K48" s="158"/>
      <c r="L48" s="157"/>
    </row>
    <row r="49" spans="2:12" x14ac:dyDescent="0.25">
      <c r="B49" s="23" t="s">
        <v>7206</v>
      </c>
      <c r="C49" s="23" t="s">
        <v>8056</v>
      </c>
      <c r="D49" s="23">
        <v>10130450</v>
      </c>
      <c r="E49" s="91" t="str">
        <f>VLOOKUP(B49,'IA NARUC Table'!D:F,3,FALSE)</f>
        <v>General Plant</v>
      </c>
      <c r="F49" s="223" t="s">
        <v>8057</v>
      </c>
      <c r="G49" s="3">
        <v>0</v>
      </c>
      <c r="H49" s="3">
        <v>0</v>
      </c>
      <c r="I49" s="158">
        <v>0</v>
      </c>
      <c r="J49" s="58">
        <f t="shared" si="0"/>
        <v>0</v>
      </c>
      <c r="K49" s="158"/>
      <c r="L49" s="157"/>
    </row>
    <row r="50" spans="2:12" x14ac:dyDescent="0.25">
      <c r="B50" s="23" t="s">
        <v>7206</v>
      </c>
      <c r="C50" s="23" t="s">
        <v>8058</v>
      </c>
      <c r="D50" s="23">
        <v>10130450</v>
      </c>
      <c r="E50" s="91" t="str">
        <f>VLOOKUP(B50,'IA NARUC Table'!D:F,3,FALSE)</f>
        <v>General Plant</v>
      </c>
      <c r="F50" s="223" t="s">
        <v>8059</v>
      </c>
      <c r="G50" s="3">
        <v>53332</v>
      </c>
      <c r="H50" s="3">
        <v>17633</v>
      </c>
      <c r="I50" s="158">
        <v>624</v>
      </c>
      <c r="J50" s="58">
        <f t="shared" si="0"/>
        <v>35699</v>
      </c>
      <c r="K50" s="158"/>
      <c r="L50" s="157"/>
    </row>
    <row r="51" spans="2:12" x14ac:dyDescent="0.25">
      <c r="B51" s="23" t="s">
        <v>7206</v>
      </c>
      <c r="C51" s="23" t="s">
        <v>8060</v>
      </c>
      <c r="D51" s="23">
        <v>10130450</v>
      </c>
      <c r="E51" s="91" t="str">
        <f>VLOOKUP(B51,'IA NARUC Table'!D:F,3,FALSE)</f>
        <v>General Plant</v>
      </c>
      <c r="F51" s="223" t="s">
        <v>8061</v>
      </c>
      <c r="G51" s="3">
        <v>837932</v>
      </c>
      <c r="H51" s="3">
        <v>381405.5</v>
      </c>
      <c r="I51" s="158">
        <v>20613</v>
      </c>
      <c r="J51" s="58">
        <f t="shared" si="0"/>
        <v>456526.5</v>
      </c>
      <c r="K51" s="158"/>
      <c r="L51" s="157"/>
    </row>
    <row r="52" spans="2:12" x14ac:dyDescent="0.25">
      <c r="B52" s="23" t="s">
        <v>7240</v>
      </c>
      <c r="C52" s="23" t="s">
        <v>8062</v>
      </c>
      <c r="D52" s="23">
        <v>10133910</v>
      </c>
      <c r="E52" s="91" t="str">
        <f>VLOOKUP(B52,'IA NARUC Table'!D:F,3,FALSE)</f>
        <v>Intangible Plant</v>
      </c>
      <c r="F52" s="223" t="s">
        <v>8063</v>
      </c>
      <c r="G52" s="3">
        <v>0</v>
      </c>
      <c r="H52" s="3">
        <v>0</v>
      </c>
      <c r="I52" s="158">
        <v>0</v>
      </c>
      <c r="J52" s="58">
        <f t="shared" si="0"/>
        <v>0</v>
      </c>
      <c r="K52" s="158"/>
      <c r="L52" s="157"/>
    </row>
    <row r="53" spans="2:12" x14ac:dyDescent="0.25">
      <c r="B53" s="23" t="s">
        <v>7248</v>
      </c>
      <c r="C53" s="23" t="s">
        <v>8064</v>
      </c>
      <c r="D53" s="23">
        <v>10134010</v>
      </c>
      <c r="E53" s="91" t="str">
        <f>VLOOKUP(B53,'IA NARUC Table'!D:F,3,FALSE)</f>
        <v>General Plant</v>
      </c>
      <c r="F53" s="223" t="s">
        <v>8065</v>
      </c>
      <c r="G53" s="3">
        <v>759165</v>
      </c>
      <c r="H53" s="3">
        <v>527394</v>
      </c>
      <c r="I53" s="158">
        <v>39552</v>
      </c>
      <c r="J53" s="58">
        <f t="shared" si="0"/>
        <v>231771</v>
      </c>
      <c r="K53" s="158"/>
      <c r="L53" s="157"/>
    </row>
    <row r="54" spans="2:12" x14ac:dyDescent="0.25">
      <c r="B54" s="23" t="s">
        <v>7248</v>
      </c>
      <c r="C54" s="23" t="s">
        <v>8066</v>
      </c>
      <c r="D54" s="23">
        <v>10134010</v>
      </c>
      <c r="E54" s="91" t="str">
        <f>VLOOKUP(B54,'IA NARUC Table'!D:F,3,FALSE)</f>
        <v>General Plant</v>
      </c>
      <c r="F54" s="223" t="s">
        <v>8067</v>
      </c>
      <c r="G54" s="3">
        <v>4154691</v>
      </c>
      <c r="H54" s="3">
        <v>2053196</v>
      </c>
      <c r="I54" s="158">
        <v>903201</v>
      </c>
      <c r="J54" s="58">
        <f t="shared" si="0"/>
        <v>2101495</v>
      </c>
      <c r="K54" s="158"/>
      <c r="L54" s="157"/>
    </row>
    <row r="55" spans="2:12" x14ac:dyDescent="0.25">
      <c r="B55" s="23" t="s">
        <v>7248</v>
      </c>
      <c r="C55" s="23" t="s">
        <v>8068</v>
      </c>
      <c r="D55" s="23">
        <v>10134010</v>
      </c>
      <c r="E55" s="91" t="str">
        <f>VLOOKUP(B55,'IA NARUC Table'!D:F,3,FALSE)</f>
        <v>General Plant</v>
      </c>
      <c r="F55" s="223" t="s">
        <v>8069</v>
      </c>
      <c r="G55" s="3">
        <v>9310302</v>
      </c>
      <c r="H55" s="3">
        <v>6500716</v>
      </c>
      <c r="I55" s="158">
        <v>1113184</v>
      </c>
      <c r="J55" s="58">
        <f t="shared" si="0"/>
        <v>2809586</v>
      </c>
      <c r="K55" s="158"/>
      <c r="L55" s="157"/>
    </row>
    <row r="56" spans="2:12" x14ac:dyDescent="0.25">
      <c r="B56" s="23" t="s">
        <v>7248</v>
      </c>
      <c r="C56" s="23" t="s">
        <v>8070</v>
      </c>
      <c r="D56" s="23">
        <v>10134010</v>
      </c>
      <c r="E56" s="91" t="str">
        <f>VLOOKUP(B56,'IA NARUC Table'!D:F,3,FALSE)</f>
        <v>General Plant</v>
      </c>
      <c r="F56" s="223" t="s">
        <v>8071</v>
      </c>
      <c r="G56" s="3">
        <v>0</v>
      </c>
      <c r="H56" s="3">
        <v>0</v>
      </c>
      <c r="I56" s="158">
        <v>0</v>
      </c>
      <c r="J56" s="58">
        <f t="shared" si="0"/>
        <v>0</v>
      </c>
      <c r="K56" s="158"/>
      <c r="L56" s="157"/>
    </row>
    <row r="57" spans="2:12" x14ac:dyDescent="0.25">
      <c r="B57" s="23" t="s">
        <v>7248</v>
      </c>
      <c r="C57" s="23" t="s">
        <v>8072</v>
      </c>
      <c r="D57" s="23">
        <v>10134010</v>
      </c>
      <c r="E57" s="91" t="str">
        <f>VLOOKUP(B57,'IA NARUC Table'!D:F,3,FALSE)</f>
        <v>General Plant</v>
      </c>
      <c r="F57" s="223" t="s">
        <v>8073</v>
      </c>
      <c r="G57" s="3">
        <v>0</v>
      </c>
      <c r="H57" s="3">
        <v>0</v>
      </c>
      <c r="I57" s="158">
        <v>0</v>
      </c>
      <c r="J57" s="58">
        <f t="shared" si="0"/>
        <v>0</v>
      </c>
      <c r="K57" s="158"/>
      <c r="L57" s="157"/>
    </row>
    <row r="58" spans="2:12" x14ac:dyDescent="0.25">
      <c r="B58" s="23" t="s">
        <v>7248</v>
      </c>
      <c r="C58" s="23" t="s">
        <v>8074</v>
      </c>
      <c r="D58" s="23">
        <v>10134010</v>
      </c>
      <c r="E58" s="91" t="str">
        <f>VLOOKUP(B58,'IA NARUC Table'!D:F,3,FALSE)</f>
        <v>General Plant</v>
      </c>
      <c r="F58" s="223" t="s">
        <v>8075</v>
      </c>
      <c r="G58" s="3">
        <v>1576820</v>
      </c>
      <c r="H58" s="3">
        <v>1182288.5</v>
      </c>
      <c r="I58" s="158">
        <v>345954</v>
      </c>
      <c r="J58" s="58">
        <f t="shared" si="0"/>
        <v>394531.5</v>
      </c>
      <c r="K58" s="158"/>
      <c r="L58" s="157"/>
    </row>
    <row r="59" spans="2:12" x14ac:dyDescent="0.25">
      <c r="B59" s="23" t="s">
        <v>7248</v>
      </c>
      <c r="C59" s="23" t="s">
        <v>8076</v>
      </c>
      <c r="D59" s="23">
        <v>10134010</v>
      </c>
      <c r="E59" s="91" t="str">
        <f>VLOOKUP(B59,'IA NARUC Table'!D:F,3,FALSE)</f>
        <v>General Plant</v>
      </c>
      <c r="F59" s="223" t="s">
        <v>8077</v>
      </c>
      <c r="G59" s="3">
        <v>0</v>
      </c>
      <c r="H59" s="3">
        <v>135103.5</v>
      </c>
      <c r="I59" s="158">
        <v>0</v>
      </c>
      <c r="J59" s="58">
        <f t="shared" si="0"/>
        <v>-135103.5</v>
      </c>
      <c r="K59" s="158"/>
      <c r="L59" s="157"/>
    </row>
    <row r="60" spans="2:12" x14ac:dyDescent="0.25">
      <c r="B60" s="23" t="s">
        <v>7248</v>
      </c>
      <c r="C60" s="23" t="s">
        <v>8078</v>
      </c>
      <c r="D60" s="23">
        <v>10134010</v>
      </c>
      <c r="E60" s="91" t="str">
        <f>VLOOKUP(B60,'IA NARUC Table'!D:F,3,FALSE)</f>
        <v>General Plant</v>
      </c>
      <c r="F60" s="223" t="s">
        <v>8079</v>
      </c>
      <c r="G60" s="3">
        <v>394280</v>
      </c>
      <c r="H60" s="3">
        <v>44825.5</v>
      </c>
      <c r="I60" s="158">
        <v>25812</v>
      </c>
      <c r="J60" s="58">
        <f t="shared" si="0"/>
        <v>349454.5</v>
      </c>
      <c r="K60" s="158"/>
      <c r="L60" s="157"/>
    </row>
    <row r="61" spans="2:12" x14ac:dyDescent="0.25">
      <c r="B61" s="23" t="s">
        <v>7250</v>
      </c>
      <c r="C61" s="23" t="s">
        <v>8080</v>
      </c>
      <c r="D61" s="23">
        <v>10134100</v>
      </c>
      <c r="E61" s="91" t="str">
        <f>VLOOKUP(B61,'IA NARUC Table'!D:F,3,FALSE)</f>
        <v>General Plant</v>
      </c>
      <c r="F61" s="223" t="s">
        <v>8081</v>
      </c>
      <c r="G61" s="3">
        <v>3576452</v>
      </c>
      <c r="H61" s="3">
        <v>1504209.5</v>
      </c>
      <c r="I61" s="158">
        <v>207929</v>
      </c>
      <c r="J61" s="58">
        <f t="shared" si="0"/>
        <v>2072242.5</v>
      </c>
      <c r="K61" s="158"/>
      <c r="L61" s="157"/>
    </row>
    <row r="62" spans="2:12" x14ac:dyDescent="0.25">
      <c r="B62" s="23" t="s">
        <v>7250</v>
      </c>
      <c r="C62" s="23" t="s">
        <v>8082</v>
      </c>
      <c r="D62" s="23">
        <v>10134100</v>
      </c>
      <c r="E62" s="91" t="str">
        <f>VLOOKUP(B62,'IA NARUC Table'!D:F,3,FALSE)</f>
        <v>General Plant</v>
      </c>
      <c r="F62" s="223" t="s">
        <v>8083</v>
      </c>
      <c r="G62" s="3">
        <v>792974</v>
      </c>
      <c r="H62" s="3">
        <v>542358</v>
      </c>
      <c r="I62" s="158">
        <v>72240</v>
      </c>
      <c r="J62" s="58">
        <f t="shared" si="0"/>
        <v>250616</v>
      </c>
      <c r="K62" s="158"/>
      <c r="L62" s="157"/>
    </row>
    <row r="63" spans="2:12" x14ac:dyDescent="0.25">
      <c r="B63" s="23" t="s">
        <v>7250</v>
      </c>
      <c r="C63" s="23" t="s">
        <v>8084</v>
      </c>
      <c r="D63" s="23">
        <v>10134100</v>
      </c>
      <c r="E63" s="91" t="str">
        <f>VLOOKUP(B63,'IA NARUC Table'!D:F,3,FALSE)</f>
        <v>General Plant</v>
      </c>
      <c r="F63" s="223" t="s">
        <v>8085</v>
      </c>
      <c r="G63" s="3">
        <v>27926</v>
      </c>
      <c r="H63" s="3">
        <v>32527</v>
      </c>
      <c r="I63" s="158">
        <v>2444</v>
      </c>
      <c r="J63" s="58">
        <f t="shared" si="0"/>
        <v>-4601</v>
      </c>
      <c r="K63" s="158"/>
      <c r="L63" s="157"/>
    </row>
    <row r="64" spans="2:12" x14ac:dyDescent="0.25">
      <c r="B64" s="23" t="s">
        <v>7250</v>
      </c>
      <c r="C64" s="23" t="s">
        <v>8086</v>
      </c>
      <c r="D64" s="23">
        <v>10134100</v>
      </c>
      <c r="E64" s="91" t="str">
        <f>VLOOKUP(B64,'IA NARUC Table'!D:F,3,FALSE)</f>
        <v>General Plant</v>
      </c>
      <c r="F64" s="223" t="s">
        <v>8087</v>
      </c>
      <c r="G64" s="3">
        <v>108281</v>
      </c>
      <c r="H64" s="3">
        <v>123496.5</v>
      </c>
      <c r="I64" s="158">
        <v>17682</v>
      </c>
      <c r="J64" s="58">
        <f t="shared" si="0"/>
        <v>-15215.5</v>
      </c>
      <c r="K64" s="158"/>
      <c r="L64" s="157"/>
    </row>
    <row r="65" spans="2:12" x14ac:dyDescent="0.25">
      <c r="B65" s="23" t="s">
        <v>7251</v>
      </c>
      <c r="C65" s="23" t="s">
        <v>8088</v>
      </c>
      <c r="D65" s="23">
        <v>10134200</v>
      </c>
      <c r="E65" s="91" t="str">
        <f>VLOOKUP(B65,'IA NARUC Table'!D:F,3,FALSE)</f>
        <v>General Plant</v>
      </c>
      <c r="F65" s="223" t="s">
        <v>8089</v>
      </c>
      <c r="G65" s="3">
        <v>25075</v>
      </c>
      <c r="H65" s="3">
        <v>5985.5</v>
      </c>
      <c r="I65" s="158">
        <v>1006</v>
      </c>
      <c r="J65" s="58">
        <f t="shared" si="0"/>
        <v>19089.5</v>
      </c>
      <c r="K65" s="158"/>
      <c r="L65" s="157"/>
    </row>
    <row r="66" spans="2:12" x14ac:dyDescent="0.25">
      <c r="B66" s="23" t="s">
        <v>7253</v>
      </c>
      <c r="C66" s="23" t="s">
        <v>8090</v>
      </c>
      <c r="D66" s="23">
        <v>10134300</v>
      </c>
      <c r="E66" s="91" t="str">
        <f>VLOOKUP(B66,'IA NARUC Table'!D:F,3,FALSE)</f>
        <v>General Plant</v>
      </c>
      <c r="F66" s="223" t="s">
        <v>8091</v>
      </c>
      <c r="G66" s="3">
        <v>1106126</v>
      </c>
      <c r="H66" s="3">
        <v>427204</v>
      </c>
      <c r="I66" s="158">
        <v>57940</v>
      </c>
      <c r="J66" s="58">
        <f t="shared" si="0"/>
        <v>678922</v>
      </c>
      <c r="K66" s="158"/>
      <c r="L66" s="157"/>
    </row>
    <row r="67" spans="2:12" x14ac:dyDescent="0.25">
      <c r="B67" s="23" t="s">
        <v>7254</v>
      </c>
      <c r="C67" s="23" t="s">
        <v>8092</v>
      </c>
      <c r="D67" s="23">
        <v>10134400</v>
      </c>
      <c r="E67" s="91" t="str">
        <f>VLOOKUP(B67,'IA NARUC Table'!D:F,3,FALSE)</f>
        <v>General Plant</v>
      </c>
      <c r="F67" s="223" t="s">
        <v>8093</v>
      </c>
      <c r="G67" s="3">
        <v>149354</v>
      </c>
      <c r="H67" s="3">
        <v>49757</v>
      </c>
      <c r="I67" s="158">
        <v>6825</v>
      </c>
      <c r="J67" s="58">
        <f t="shared" si="0"/>
        <v>99597</v>
      </c>
      <c r="K67" s="158"/>
      <c r="L67" s="157"/>
    </row>
    <row r="68" spans="2:12" x14ac:dyDescent="0.25">
      <c r="B68" s="23" t="s">
        <v>7255</v>
      </c>
      <c r="C68" s="23" t="s">
        <v>8094</v>
      </c>
      <c r="D68" s="23">
        <v>10134500</v>
      </c>
      <c r="E68" s="91" t="str">
        <f>VLOOKUP(B68,'IA NARUC Table'!D:F,3,FALSE)</f>
        <v>General Plant</v>
      </c>
      <c r="F68" s="223" t="s">
        <v>8095</v>
      </c>
      <c r="G68" s="3">
        <v>164457</v>
      </c>
      <c r="H68" s="3">
        <v>90269.5</v>
      </c>
      <c r="I68" s="158">
        <v>19176</v>
      </c>
      <c r="J68" s="58">
        <f t="shared" ref="J68:J75" si="1">G68-H68</f>
        <v>74187.5</v>
      </c>
      <c r="K68" s="158"/>
      <c r="L68" s="157"/>
    </row>
    <row r="69" spans="2:12" x14ac:dyDescent="0.25">
      <c r="B69" s="23" t="s">
        <v>7257</v>
      </c>
      <c r="C69" s="23" t="s">
        <v>8096</v>
      </c>
      <c r="D69" s="23">
        <v>10134600</v>
      </c>
      <c r="E69" s="91" t="str">
        <f>VLOOKUP(B69,'IA NARUC Table'!D:F,3,FALSE)</f>
        <v>General Plant</v>
      </c>
      <c r="F69" s="223" t="s">
        <v>8097</v>
      </c>
      <c r="G69" s="3">
        <v>1275913</v>
      </c>
      <c r="H69" s="3">
        <v>1170122.5</v>
      </c>
      <c r="I69" s="158">
        <v>19777</v>
      </c>
      <c r="J69" s="58">
        <f t="shared" si="1"/>
        <v>105790.5</v>
      </c>
      <c r="K69" s="158"/>
      <c r="L69" s="157"/>
    </row>
    <row r="70" spans="2:12" x14ac:dyDescent="0.25">
      <c r="B70" s="23" t="s">
        <v>7257</v>
      </c>
      <c r="C70" s="23" t="s">
        <v>8098</v>
      </c>
      <c r="D70" s="23">
        <v>10134600</v>
      </c>
      <c r="E70" s="91" t="str">
        <f>VLOOKUP(B70,'IA NARUC Table'!D:F,3,FALSE)</f>
        <v>General Plant</v>
      </c>
      <c r="F70" s="223" t="s">
        <v>8099</v>
      </c>
      <c r="G70" s="3">
        <v>1754209</v>
      </c>
      <c r="H70" s="3">
        <v>718050</v>
      </c>
      <c r="I70" s="158">
        <v>115427</v>
      </c>
      <c r="J70" s="58">
        <f t="shared" si="1"/>
        <v>1036159</v>
      </c>
      <c r="K70" s="158"/>
      <c r="L70" s="157"/>
    </row>
    <row r="71" spans="2:12" x14ac:dyDescent="0.25">
      <c r="B71" s="23" t="s">
        <v>7257</v>
      </c>
      <c r="C71" s="23" t="s">
        <v>8100</v>
      </c>
      <c r="D71" s="23">
        <v>10134600</v>
      </c>
      <c r="E71" s="91" t="str">
        <f>VLOOKUP(B71,'IA NARUC Table'!D:F,3,FALSE)</f>
        <v>General Plant</v>
      </c>
      <c r="F71" s="223" t="s">
        <v>8101</v>
      </c>
      <c r="G71" s="3">
        <v>40570</v>
      </c>
      <c r="H71" s="3">
        <v>31164</v>
      </c>
      <c r="I71" s="158">
        <v>1830</v>
      </c>
      <c r="J71" s="58">
        <f t="shared" si="1"/>
        <v>9406</v>
      </c>
      <c r="K71" s="158"/>
      <c r="L71" s="157"/>
    </row>
    <row r="72" spans="2:12" x14ac:dyDescent="0.25">
      <c r="B72" s="23" t="s">
        <v>7258</v>
      </c>
      <c r="C72" s="23" t="s">
        <v>8102</v>
      </c>
      <c r="D72" s="23">
        <v>10134700</v>
      </c>
      <c r="E72" s="91" t="str">
        <f>VLOOKUP(B72,'IA NARUC Table'!D:F,3,FALSE)</f>
        <v>General Plant</v>
      </c>
      <c r="F72" s="223" t="s">
        <v>8103</v>
      </c>
      <c r="G72" s="3">
        <v>1730509</v>
      </c>
      <c r="H72" s="3">
        <v>637199.5</v>
      </c>
      <c r="I72" s="158">
        <v>73893</v>
      </c>
      <c r="J72" s="58">
        <f t="shared" si="1"/>
        <v>1093309.5</v>
      </c>
      <c r="K72" s="158"/>
      <c r="L72" s="157"/>
    </row>
    <row r="73" spans="2:12" x14ac:dyDescent="0.25">
      <c r="B73" s="23" t="s">
        <v>7259</v>
      </c>
      <c r="C73" s="23" t="s">
        <v>8104</v>
      </c>
      <c r="D73" s="23">
        <v>10134800</v>
      </c>
      <c r="E73" s="91" t="str">
        <f>VLOOKUP(B73,'IA NARUC Table'!D:F,3,FALSE)</f>
        <v>General Plant</v>
      </c>
      <c r="F73" s="223" t="s">
        <v>8105</v>
      </c>
      <c r="G73" s="3">
        <v>173375</v>
      </c>
      <c r="H73" s="3">
        <v>31697</v>
      </c>
      <c r="I73" s="158">
        <v>7264</v>
      </c>
      <c r="J73" s="59">
        <f t="shared" ref="J73" si="2">G73-H73</f>
        <v>141678</v>
      </c>
      <c r="K73" s="158"/>
      <c r="L73" s="157"/>
    </row>
    <row r="74" spans="2:12" x14ac:dyDescent="0.25">
      <c r="B74" s="23"/>
      <c r="C74" s="23"/>
      <c r="D74" s="23"/>
      <c r="E74" s="235"/>
      <c r="F74" s="236" t="s">
        <v>8148</v>
      </c>
      <c r="G74" s="181">
        <v>0</v>
      </c>
      <c r="H74" s="181"/>
      <c r="I74" s="234"/>
      <c r="J74" s="58">
        <f t="shared" si="1"/>
        <v>0</v>
      </c>
      <c r="K74" s="158"/>
      <c r="L74" s="157"/>
    </row>
    <row r="75" spans="2:12" x14ac:dyDescent="0.25">
      <c r="B75" s="23"/>
      <c r="C75" s="23"/>
      <c r="D75" s="23"/>
      <c r="E75" s="235"/>
      <c r="F75" s="236" t="s">
        <v>8138</v>
      </c>
      <c r="G75" s="24">
        <v>65746</v>
      </c>
      <c r="H75" s="24"/>
      <c r="I75" s="160"/>
      <c r="J75" s="149">
        <f t="shared" si="1"/>
        <v>65746</v>
      </c>
      <c r="K75" s="158"/>
      <c r="L75" s="157"/>
    </row>
    <row r="76" spans="2:12" x14ac:dyDescent="0.25">
      <c r="E76" s="91"/>
      <c r="G76" s="3">
        <f>SUM(G8:G75)</f>
        <v>290797940</v>
      </c>
      <c r="H76" s="3">
        <f>SUM(H8:H75)</f>
        <v>92978435</v>
      </c>
      <c r="I76" s="3">
        <f>SUM(I8:I75)</f>
        <v>8287933</v>
      </c>
      <c r="J76" s="58">
        <f>G76-H76</f>
        <v>197819505</v>
      </c>
      <c r="K76" s="159"/>
      <c r="L76" s="58"/>
    </row>
    <row r="77" spans="2:12" x14ac:dyDescent="0.25">
      <c r="E77" s="91"/>
      <c r="G77" s="6"/>
      <c r="H77" s="3"/>
      <c r="I77" s="154"/>
      <c r="K77" s="59"/>
      <c r="L77" s="59"/>
    </row>
    <row r="78" spans="2:12" x14ac:dyDescent="0.25">
      <c r="E78" s="91"/>
      <c r="F78" s="37"/>
      <c r="G78" s="6"/>
      <c r="H78" s="6"/>
      <c r="I78" s="6"/>
      <c r="K78" s="58"/>
      <c r="L78" s="58"/>
    </row>
    <row r="79" spans="2:12" x14ac:dyDescent="0.25">
      <c r="F79" s="37"/>
      <c r="G79" s="6"/>
      <c r="H79" s="6"/>
      <c r="I79" s="6"/>
      <c r="K79" s="58"/>
      <c r="L79" s="58"/>
    </row>
    <row r="80" spans="2:12" x14ac:dyDescent="0.25">
      <c r="F80" s="37"/>
      <c r="G80" s="238" t="s">
        <v>8150</v>
      </c>
      <c r="H80" s="6"/>
      <c r="I80" s="6"/>
      <c r="K80" s="58"/>
      <c r="L80" s="58"/>
    </row>
    <row r="81" spans="5:12" x14ac:dyDescent="0.25">
      <c r="F81" s="91" t="s">
        <v>8149</v>
      </c>
      <c r="G81" s="237">
        <v>0</v>
      </c>
      <c r="H81" s="6"/>
      <c r="I81" s="6"/>
      <c r="J81" s="2"/>
      <c r="K81" s="58"/>
      <c r="L81" s="58"/>
    </row>
    <row r="82" spans="5:12" x14ac:dyDescent="0.25">
      <c r="F82" s="91"/>
      <c r="G82" s="237"/>
      <c r="H82" s="6"/>
      <c r="I82" s="6"/>
      <c r="J82" s="2"/>
      <c r="K82" s="58"/>
      <c r="L82" s="58"/>
    </row>
    <row r="83" spans="5:12" x14ac:dyDescent="0.25">
      <c r="G83" s="187"/>
      <c r="J83" s="2"/>
    </row>
    <row r="84" spans="5:12" x14ac:dyDescent="0.25">
      <c r="G84" s="57"/>
      <c r="H84" s="6"/>
      <c r="I84" s="57"/>
      <c r="J84" s="2"/>
    </row>
    <row r="85" spans="5:12" x14ac:dyDescent="0.25">
      <c r="E85" s="91"/>
      <c r="F85" s="2" t="s">
        <v>8139</v>
      </c>
      <c r="G85" s="3"/>
      <c r="H85" s="2"/>
      <c r="J85" s="2"/>
    </row>
    <row r="86" spans="5:12" x14ac:dyDescent="0.25">
      <c r="E86" s="91"/>
      <c r="F86" s="2" t="s">
        <v>8195</v>
      </c>
      <c r="G86" s="248">
        <f>H86/H$100*G$100</f>
        <v>304724.75715961657</v>
      </c>
      <c r="H86" s="248">
        <v>265475</v>
      </c>
      <c r="J86" s="2"/>
    </row>
    <row r="87" spans="5:12" x14ac:dyDescent="0.25">
      <c r="E87" s="91"/>
      <c r="F87" s="2" t="s">
        <v>8196</v>
      </c>
      <c r="G87" s="248">
        <f t="shared" ref="G87:G99" si="3">H87/H$100*G$100</f>
        <v>5318646.7998067038</v>
      </c>
      <c r="H87" s="248">
        <v>4633584</v>
      </c>
      <c r="J87" s="2"/>
    </row>
    <row r="88" spans="5:12" x14ac:dyDescent="0.25">
      <c r="E88" s="91"/>
      <c r="F88" s="2" t="s">
        <v>8197</v>
      </c>
      <c r="G88" s="248">
        <f t="shared" si="3"/>
        <v>9944.9488502906788</v>
      </c>
      <c r="H88" s="248">
        <v>8664</v>
      </c>
      <c r="J88" s="2"/>
    </row>
    <row r="89" spans="5:12" x14ac:dyDescent="0.25">
      <c r="E89" s="91"/>
      <c r="F89" s="2" t="s">
        <v>8198</v>
      </c>
      <c r="G89" s="248">
        <f t="shared" si="3"/>
        <v>7893.7457575541312</v>
      </c>
      <c r="H89" s="248">
        <v>6877</v>
      </c>
      <c r="J89" s="2"/>
    </row>
    <row r="90" spans="5:12" x14ac:dyDescent="0.25">
      <c r="E90" s="91"/>
      <c r="F90" s="2" t="s">
        <v>8199</v>
      </c>
      <c r="G90" s="248">
        <f t="shared" si="3"/>
        <v>224569.43361799046</v>
      </c>
      <c r="H90" s="248">
        <v>195644</v>
      </c>
      <c r="J90" s="2"/>
    </row>
    <row r="91" spans="5:12" x14ac:dyDescent="0.25">
      <c r="E91" s="91"/>
      <c r="F91" s="2" t="s">
        <v>8200</v>
      </c>
      <c r="G91" s="248">
        <f t="shared" si="3"/>
        <v>1760.7977304185019</v>
      </c>
      <c r="H91" s="248">
        <v>1534</v>
      </c>
      <c r="J91" s="2"/>
    </row>
    <row r="92" spans="5:12" x14ac:dyDescent="0.25">
      <c r="E92" s="91"/>
      <c r="F92" s="2" t="s">
        <v>8201</v>
      </c>
      <c r="G92" s="248">
        <f t="shared" si="3"/>
        <v>712422.89397754066</v>
      </c>
      <c r="H92" s="248">
        <v>620660</v>
      </c>
      <c r="J92" s="2"/>
    </row>
    <row r="93" spans="5:12" x14ac:dyDescent="0.25">
      <c r="E93" s="91"/>
      <c r="F93" s="2" t="s">
        <v>8202</v>
      </c>
      <c r="G93" s="248">
        <f t="shared" si="3"/>
        <v>728713.14260211657</v>
      </c>
      <c r="H93" s="248">
        <v>634852</v>
      </c>
      <c r="J93" s="2"/>
    </row>
    <row r="94" spans="5:12" x14ac:dyDescent="0.25">
      <c r="E94" s="91"/>
      <c r="F94" s="2" t="s">
        <v>8203</v>
      </c>
      <c r="G94" s="248">
        <f t="shared" si="3"/>
        <v>309170.36968237458</v>
      </c>
      <c r="H94" s="248">
        <v>269348</v>
      </c>
      <c r="J94" s="2"/>
    </row>
    <row r="95" spans="5:12" x14ac:dyDescent="0.25">
      <c r="E95" s="91"/>
      <c r="F95" s="2" t="s">
        <v>8204</v>
      </c>
      <c r="G95" s="248">
        <f t="shared" si="3"/>
        <v>4217.1909136620443</v>
      </c>
      <c r="H95" s="248">
        <v>3674</v>
      </c>
      <c r="J95" s="2"/>
    </row>
    <row r="96" spans="5:12" x14ac:dyDescent="0.25">
      <c r="E96" s="91"/>
      <c r="F96" s="2" t="s">
        <v>8205</v>
      </c>
      <c r="G96" s="248">
        <f t="shared" si="3"/>
        <v>0</v>
      </c>
      <c r="H96" s="248">
        <v>0</v>
      </c>
      <c r="J96" s="2"/>
    </row>
    <row r="97" spans="5:10" x14ac:dyDescent="0.25">
      <c r="E97" s="91"/>
      <c r="F97" s="2" t="s">
        <v>8206</v>
      </c>
      <c r="G97" s="248">
        <f t="shared" si="3"/>
        <v>18197.970807076224</v>
      </c>
      <c r="H97" s="248">
        <v>15854</v>
      </c>
      <c r="J97" s="2"/>
    </row>
    <row r="98" spans="5:10" x14ac:dyDescent="0.25">
      <c r="E98" s="91"/>
      <c r="F98" s="2" t="s">
        <v>8207</v>
      </c>
      <c r="G98" s="248">
        <f t="shared" si="3"/>
        <v>63889.179709969896</v>
      </c>
      <c r="H98" s="248">
        <v>55660</v>
      </c>
      <c r="J98" s="2"/>
    </row>
    <row r="99" spans="5:10" x14ac:dyDescent="0.25">
      <c r="E99" s="91"/>
      <c r="F99" s="49" t="s">
        <v>8208</v>
      </c>
      <c r="G99" s="249">
        <f t="shared" si="3"/>
        <v>32248.769384685667</v>
      </c>
      <c r="H99" s="249">
        <v>28095</v>
      </c>
      <c r="J99" s="2"/>
    </row>
    <row r="100" spans="5:10" x14ac:dyDescent="0.25">
      <c r="E100" s="91"/>
      <c r="G100" s="248">
        <v>7736400</v>
      </c>
      <c r="H100" s="248">
        <f>SUM(H86:H99)</f>
        <v>6739921</v>
      </c>
      <c r="J100" s="2"/>
    </row>
    <row r="101" spans="5:10" x14ac:dyDescent="0.25">
      <c r="E101" s="91"/>
      <c r="G101" s="248"/>
      <c r="H101" s="248"/>
      <c r="J101" s="2"/>
    </row>
    <row r="102" spans="5:10" x14ac:dyDescent="0.25">
      <c r="E102" s="91"/>
      <c r="F102" s="2" t="s">
        <v>8140</v>
      </c>
      <c r="G102" s="3"/>
      <c r="J102" s="2"/>
    </row>
    <row r="103" spans="5:10" x14ac:dyDescent="0.25">
      <c r="E103" s="91"/>
      <c r="F103" s="247" t="s">
        <v>8209</v>
      </c>
      <c r="G103" s="248">
        <f>H103/H$114*G$114</f>
        <v>77004.336964833274</v>
      </c>
      <c r="H103" s="248">
        <v>52534</v>
      </c>
      <c r="J103" s="2"/>
    </row>
    <row r="104" spans="5:10" x14ac:dyDescent="0.25">
      <c r="E104" s="91"/>
      <c r="F104" s="247" t="s">
        <v>8210</v>
      </c>
      <c r="G104" s="248">
        <f t="shared" ref="G104:G113" si="4">H104/H$114*G$114</f>
        <v>4038217.424067521</v>
      </c>
      <c r="H104" s="248">
        <v>2754958</v>
      </c>
      <c r="J104" s="2"/>
    </row>
    <row r="105" spans="5:10" x14ac:dyDescent="0.25">
      <c r="E105" s="91"/>
      <c r="F105" s="247" t="s">
        <v>8211</v>
      </c>
      <c r="G105" s="248">
        <f t="shared" si="4"/>
        <v>285715.20092744258</v>
      </c>
      <c r="H105" s="248">
        <v>194921</v>
      </c>
      <c r="J105" s="2"/>
    </row>
    <row r="106" spans="5:10" x14ac:dyDescent="0.25">
      <c r="E106" s="91"/>
      <c r="F106" s="247" t="s">
        <v>8212</v>
      </c>
      <c r="G106" s="248">
        <f t="shared" si="4"/>
        <v>448326.6550308367</v>
      </c>
      <c r="H106" s="248">
        <v>305858</v>
      </c>
      <c r="J106" s="2"/>
    </row>
    <row r="107" spans="5:10" x14ac:dyDescent="0.25">
      <c r="E107" s="91"/>
      <c r="F107" s="247" t="s">
        <v>8213</v>
      </c>
      <c r="G107" s="248">
        <f t="shared" si="4"/>
        <v>25025.603323573279</v>
      </c>
      <c r="H107" s="248">
        <v>17073</v>
      </c>
      <c r="J107" s="2"/>
    </row>
    <row r="108" spans="5:10" x14ac:dyDescent="0.25">
      <c r="E108" s="91"/>
      <c r="F108" s="247" t="s">
        <v>8214</v>
      </c>
      <c r="G108" s="248">
        <f t="shared" si="4"/>
        <v>0</v>
      </c>
      <c r="H108" s="248">
        <v>0</v>
      </c>
      <c r="J108" s="2"/>
    </row>
    <row r="109" spans="5:10" x14ac:dyDescent="0.25">
      <c r="E109" s="91"/>
      <c r="F109" s="247" t="s">
        <v>8215</v>
      </c>
      <c r="G109" s="248">
        <f t="shared" si="4"/>
        <v>11513.858964837351</v>
      </c>
      <c r="H109" s="248">
        <v>7855</v>
      </c>
      <c r="J109" s="2"/>
    </row>
    <row r="110" spans="5:10" x14ac:dyDescent="0.25">
      <c r="E110" s="91"/>
      <c r="F110" s="247" t="s">
        <v>8216</v>
      </c>
      <c r="G110" s="248">
        <f t="shared" si="4"/>
        <v>197176.48379783463</v>
      </c>
      <c r="H110" s="248">
        <v>134518</v>
      </c>
      <c r="J110" s="2"/>
    </row>
    <row r="111" spans="5:10" x14ac:dyDescent="0.25">
      <c r="E111" s="91"/>
      <c r="F111" s="247" t="s">
        <v>8217</v>
      </c>
      <c r="G111" s="248">
        <f t="shared" si="4"/>
        <v>5162.5475842338828</v>
      </c>
      <c r="H111" s="248">
        <v>3522</v>
      </c>
      <c r="J111" s="2"/>
    </row>
    <row r="112" spans="5:10" x14ac:dyDescent="0.25">
      <c r="E112" s="91"/>
      <c r="F112" s="247" t="s">
        <v>8218</v>
      </c>
      <c r="G112" s="248">
        <f t="shared" si="4"/>
        <v>25025.603323573279</v>
      </c>
      <c r="H112" s="248">
        <v>17073</v>
      </c>
      <c r="J112" s="2"/>
    </row>
    <row r="113" spans="5:10" x14ac:dyDescent="0.25">
      <c r="E113" s="91"/>
      <c r="F113" s="251" t="s">
        <v>8219</v>
      </c>
      <c r="G113" s="249">
        <f t="shared" si="4"/>
        <v>-1511264.7139846864</v>
      </c>
      <c r="H113" s="249">
        <v>-1031017</v>
      </c>
      <c r="J113" s="2"/>
    </row>
    <row r="114" spans="5:10" x14ac:dyDescent="0.25">
      <c r="E114" s="91"/>
      <c r="G114" s="250">
        <v>3601903</v>
      </c>
      <c r="H114" s="248">
        <f>SUM(H103:H113)</f>
        <v>2457295</v>
      </c>
      <c r="J114" s="2"/>
    </row>
    <row r="115" spans="5:10" x14ac:dyDescent="0.25">
      <c r="E115" s="91"/>
      <c r="G115" s="3"/>
      <c r="J115" s="2"/>
    </row>
    <row r="116" spans="5:10" x14ac:dyDescent="0.25">
      <c r="E116" s="91"/>
      <c r="F116" s="2" t="s">
        <v>8141</v>
      </c>
      <c r="G116" s="3">
        <v>368047</v>
      </c>
      <c r="J116" s="2"/>
    </row>
    <row r="117" spans="5:10" x14ac:dyDescent="0.25">
      <c r="E117" s="91"/>
      <c r="F117" s="2" t="s">
        <v>8142</v>
      </c>
      <c r="G117" s="3">
        <v>40362698</v>
      </c>
      <c r="J117" s="2"/>
    </row>
    <row r="118" spans="5:10" x14ac:dyDescent="0.25">
      <c r="E118" s="91"/>
      <c r="F118" s="2" t="s">
        <v>8143</v>
      </c>
      <c r="G118" s="3">
        <v>2585</v>
      </c>
      <c r="J118" s="2"/>
    </row>
    <row r="119" spans="5:10" x14ac:dyDescent="0.25">
      <c r="E119" s="4"/>
      <c r="J119" s="2"/>
    </row>
    <row r="120" spans="5:10" x14ac:dyDescent="0.25">
      <c r="E120" s="91"/>
      <c r="F120" s="2" t="s">
        <v>8144</v>
      </c>
      <c r="G120" s="31">
        <v>-1973180</v>
      </c>
      <c r="J120" s="2"/>
    </row>
    <row r="121" spans="5:10" x14ac:dyDescent="0.25">
      <c r="E121" s="91"/>
      <c r="F121" s="2" t="s">
        <v>8146</v>
      </c>
      <c r="G121" s="31">
        <v>685694</v>
      </c>
      <c r="J121" s="2"/>
    </row>
    <row r="122" spans="5:10" x14ac:dyDescent="0.25">
      <c r="E122" s="91"/>
      <c r="F122" s="2" t="s">
        <v>8235</v>
      </c>
      <c r="G122" s="31">
        <v>65746</v>
      </c>
      <c r="J122" s="2"/>
    </row>
    <row r="123" spans="5:10" x14ac:dyDescent="0.25">
      <c r="E123" s="91"/>
      <c r="F123" s="2" t="s">
        <v>8147</v>
      </c>
      <c r="G123" s="31">
        <v>251938</v>
      </c>
      <c r="J123" s="2"/>
    </row>
    <row r="124" spans="5:10" x14ac:dyDescent="0.25">
      <c r="E124" s="4"/>
    </row>
    <row r="125" spans="5:10" x14ac:dyDescent="0.25">
      <c r="F125" s="2" t="s">
        <v>8154</v>
      </c>
      <c r="G125" s="31">
        <v>312462</v>
      </c>
    </row>
    <row r="126" spans="5:10" x14ac:dyDescent="0.25">
      <c r="G126" s="31"/>
    </row>
    <row r="127" spans="5:10" x14ac:dyDescent="0.25">
      <c r="F127" s="2" t="s">
        <v>8153</v>
      </c>
      <c r="G127" s="239">
        <v>7.7007961162117972E-2</v>
      </c>
    </row>
    <row r="128" spans="5:10" x14ac:dyDescent="0.25">
      <c r="F128" s="2" t="s">
        <v>8155</v>
      </c>
      <c r="G128" s="154">
        <v>11141501.502453309</v>
      </c>
    </row>
    <row r="129" spans="6:7" x14ac:dyDescent="0.25">
      <c r="G129" s="154"/>
    </row>
    <row r="131" spans="6:7" x14ac:dyDescent="0.25">
      <c r="F131" s="2" t="s">
        <v>8156</v>
      </c>
      <c r="G131" s="154">
        <v>43850770</v>
      </c>
    </row>
    <row r="134" spans="6:7" x14ac:dyDescent="0.25">
      <c r="G134" s="31"/>
    </row>
    <row r="135" spans="6:7" x14ac:dyDescent="0.25">
      <c r="G135" s="31"/>
    </row>
    <row r="136" spans="6:7" x14ac:dyDescent="0.25">
      <c r="G136" s="31"/>
    </row>
    <row r="137" spans="6:7" x14ac:dyDescent="0.25">
      <c r="G137" s="31"/>
    </row>
  </sheetData>
  <autoFilter ref="B7:I78" xr:uid="{00000000-0009-0000-0000-000009000000}"/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75C2BB153F54998B0BC5BA82DA566" ma:contentTypeVersion="4" ma:contentTypeDescription="Create a new document." ma:contentTypeScope="" ma:versionID="daf7d9fe012b08a3dd863c049bb3a5e5">
  <xsd:schema xmlns:xsd="http://www.w3.org/2001/XMLSchema" xmlns:xs="http://www.w3.org/2001/XMLSchema" xmlns:p="http://schemas.microsoft.com/office/2006/metadata/properties" xmlns:ns1="http://schemas.microsoft.com/sharepoint/v3" xmlns:ns2="F6684C87-9742-42CB-B52D-07083E355537" xmlns:ns3="00c1cf47-8665-4c73-8994-ff3a5e26da0f" xmlns:ns5="7312d0bd-5bb3-4d44-9c84-f993550bda7e" xmlns:ns6="f6684c87-9742-42cb-b52d-07083e355537" targetNamespace="http://schemas.microsoft.com/office/2006/metadata/properties" ma:root="true" ma:fieldsID="85303e5c15fc524db2804f533cb7b7ad" ns1:_="" ns2:_="" ns3:_="" ns5:_="" ns6:_="">
    <xsd:import namespace="http://schemas.microsoft.com/sharepoint/v3"/>
    <xsd:import namespace="F6684C87-9742-42CB-B52D-07083E355537"/>
    <xsd:import namespace="00c1cf47-8665-4c73-8994-ff3a5e26da0f"/>
    <xsd:import namespace="7312d0bd-5bb3-4d44-9c84-f993550bda7e"/>
    <xsd:import namespace="f6684c87-9742-42cb-b52d-07083e355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84C87-9742-42CB-B52D-07083E355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84c87-9742-42cb-b52d-07083e35553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 xmlns="f6684c87-9742-42cb-b52d-07083e355537">
      <Url xsi:nil="true"/>
      <Description xsi:nil="true"/>
    </Workflow>
    <Internal_x0020_Due_x0020_Date xmlns="00c1cf47-8665-4c73-8994-ff3a5e26da0f" xsi:nil="true"/>
    <Final_x0020_Due_x0020_Date xmlns="00c1cf47-8665-4c73-8994-ff3a5e26da0f" xsi:nil="true"/>
    <Docket_x0020_Number xmlns="00c1cf47-8665-4c73-8994-ff3a5e26da0f">RPU-2020-0001</Docket_x0020_Number>
    <Preparer xmlns="00c1cf47-8665-4c73-8994-ff3a5e26da0f" xsi:nil="true"/>
    <Document_x0020_Type xmlns="00c1cf47-8665-4c73-8994-ff3a5e26da0f">Petition</Document_x0020_Type>
    <_ip_UnifiedCompliancePolicyProperties xmlns="http://schemas.microsoft.com/sharepoint/v3" xsi:nil="true"/>
    <WorkflowStatus xmlns="f6684c87-9742-42cb-b52d-07083e355537" xsi:nil="true"/>
    <Series xmlns="F6684C87-9742-42CB-B52D-07083E355537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698B98C6-3E1C-4812-8409-3174F1374C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B0F04-8817-4F29-ABA6-AE7F25030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684C87-9742-42CB-B52D-07083E355537"/>
    <ds:schemaRef ds:uri="00c1cf47-8665-4c73-8994-ff3a5e26da0f"/>
    <ds:schemaRef ds:uri="7312d0bd-5bb3-4d44-9c84-f993550bda7e"/>
    <ds:schemaRef ds:uri="f6684c87-9742-42cb-b52d-07083e355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4EDDE7-412F-4160-8840-97091BF5905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312d0bd-5bb3-4d44-9c84-f993550bda7e"/>
    <ds:schemaRef ds:uri="http://schemas.microsoft.com/office/infopath/2007/PartnerControls"/>
    <ds:schemaRef ds:uri="f6684c87-9742-42cb-b52d-07083e355537"/>
    <ds:schemaRef ds:uri="00c1cf47-8665-4c73-8994-ff3a5e26da0f"/>
    <ds:schemaRef ds:uri="F6684C87-9742-42CB-B52D-07083E35553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Summary</vt:lpstr>
      <vt:lpstr>Account Detail</vt:lpstr>
      <vt:lpstr>Usage Statistics</vt:lpstr>
      <vt:lpstr>Class Allocators</vt:lpstr>
      <vt:lpstr>Allocator Summary</vt:lpstr>
      <vt:lpstr>Support &gt;&gt;</vt:lpstr>
      <vt:lpstr>COSS Step 1</vt:lpstr>
      <vt:lpstr>LinkFromRevenues</vt:lpstr>
      <vt:lpstr>LinkFromRateBase</vt:lpstr>
      <vt:lpstr>LinkFromProFormaIS</vt:lpstr>
      <vt:lpstr>QIP Allocator</vt:lpstr>
      <vt:lpstr>IA NARUC Table</vt:lpstr>
      <vt:lpstr>COA</vt:lpstr>
      <vt:lpstr>SystemDelivery</vt:lpstr>
      <vt:lpstr>'Account Detail'!Print_Area</vt:lpstr>
      <vt:lpstr>'Class Allocators'!Print_Area</vt:lpstr>
      <vt:lpstr>Summary!Print_Area</vt:lpstr>
      <vt:lpstr>'Account Detail'!Print_Titles</vt:lpstr>
      <vt:lpstr>'Class Allocators'!Print_Titles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2019-08-19T12:21:56Z</dcterms:created>
  <dc:creator>Chuck Rea</dc:creator>
  <cp:lastModifiedBy>Cade J Simmons</cp:lastModifiedBy>
  <cp:lastPrinted>2020-07-15T16:41:23Z</cp:lastPrinted>
  <dcterms:modified xsi:type="dcterms:W3CDTF">2021-09-23T19:44:32Z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Monica.Pajarillo@amwater.com</vt:lpwstr>
  </property>
  <property fmtid="{D5CDD505-2E9C-101B-9397-08002B2CF9AE}" pid="6" name="MSIP_Label_846c87f6-c46e-48eb-b7ce-d3a4a7d30611_SetDate">
    <vt:lpwstr>2020-07-12T23:00:13.0744112Z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dceaaad4-8efa-4a0f-b325-fa9e80d392f8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ContentTypeId">
    <vt:lpwstr>0x01010098675C2BB153F54998B0BC5BA82DA566</vt:lpwstr>
  </property>
</Properties>
</file>