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>
    <mc:Choice Requires="x15">
      <x15ac:absPath xmlns:x15ac="http://schemas.microsoft.com/office/spreadsheetml/2010/11/ac" url="https://icfonline.sharepoint.com/teams/MidAmericanRevisedProgramDesign2019-2023/Shared Documents/Annual Reporting/ICF-MA Exchange - Annual Reporting Model/Annual Reporting Workflow/Iowa 2021 Annual Report Exhibits/Exhibits/Results/2022-03-24/"/>
    </mc:Choice>
  </mc:AlternateContent>
  <xr:revisionPtr revIDLastSave="17" documentId="8_{B418BB41-CFBE-40C7-A06B-CCE4B4739427}" xr6:coauthVersionLast="47" xr6:coauthVersionMax="47" xr10:uidLastSave="{B17C4D94-0F34-4779-BEB6-946C005446A0}"/>
  <bookViews>
    <workbookView xWindow="-98" yWindow="-98" windowWidth="24496" windowHeight="15945" tabRatio="597" xr2:uid="{00000000-000D-0000-FFFF-FFFF00000000}"/>
  </bookViews>
  <sheets>
    <sheet name="Elec Gross" sheetId="4" r:id="rId1"/>
    <sheet name="Elec Net" sheetId="6" r:id="rId2"/>
    <sheet name="Gas Gross" sheetId="13" r:id="rId3"/>
    <sheet name="Gas Net" sheetId="14" r:id="rId4"/>
    <sheet name="Gas Actual" sheetId="12" state="hidden" r:id="rId5"/>
    <sheet name="Elec Actual" sheetId="11" state="hidden" r:id="rId6"/>
    <sheet name="Net" sheetId="15" state="hidden" r:id="rId7"/>
  </sheets>
  <externalReferences>
    <externalReference r:id="rId8"/>
    <externalReference r:id="rId9"/>
  </externalReferences>
  <definedNames>
    <definedName name="Change1">#REF!,#REF!</definedName>
    <definedName name="ChangeVars">#REF!,#REF!</definedName>
    <definedName name="IPSTotalM" localSheetId="1">'[1]Totalexpd '!#REF!</definedName>
    <definedName name="IPSTotalM" localSheetId="3">'[1]Totalexpd '!#REF!</definedName>
    <definedName name="IPSTotalM">'[1]Totalexpd '!#REF!</definedName>
    <definedName name="IPSTotalYTD" localSheetId="1">'[1]Totalexpd '!#REF!</definedName>
    <definedName name="IPSTotalYTD" localSheetId="3">'[1]Totalexpd '!#REF!</definedName>
    <definedName name="IPSTotalYTD">'[1]Totalexpd '!#REF!</definedName>
    <definedName name="IPTotalM" localSheetId="1">'[1]Totalexpd '!#REF!</definedName>
    <definedName name="IPTotalM" localSheetId="3">'[1]Totalexpd '!#REF!</definedName>
    <definedName name="IPTotalM">'[1]Totalexpd '!#REF!</definedName>
    <definedName name="IPTotalYTD" localSheetId="1">'[1]Totalexpd '!#REF!</definedName>
    <definedName name="IPTotalYTD" localSheetId="3">'[1]Totalexpd '!#REF!</definedName>
    <definedName name="IPTotalYTD">'[1]Totalexpd '!#REF!</definedName>
    <definedName name="LaborAll1990" localSheetId="1">'[1]Totalexpd '!#REF!</definedName>
    <definedName name="LaborAll1990" localSheetId="3">'[1]Totalexpd '!#REF!</definedName>
    <definedName name="LaborAll1990">'[1]Totalexpd '!#REF!</definedName>
    <definedName name="LaborAll1991" localSheetId="1">'[1]Totalexpd '!#REF!</definedName>
    <definedName name="LaborAll1991" localSheetId="3">'[1]Totalexpd '!#REF!</definedName>
    <definedName name="LaborAll1991">'[1]Totalexpd '!#REF!</definedName>
    <definedName name="LaborAll1992" localSheetId="1">'[1]Totalexpd '!#REF!</definedName>
    <definedName name="LaborAll1992" localSheetId="3">'[1]Totalexpd '!#REF!</definedName>
    <definedName name="LaborAll1992">'[1]Totalexpd '!#REF!</definedName>
    <definedName name="NonlabAll1990" localSheetId="1">'[1]Totalexpd '!#REF!</definedName>
    <definedName name="NonlabAll1990" localSheetId="3">'[1]Totalexpd '!#REF!</definedName>
    <definedName name="NonlabAll1990">'[1]Totalexpd '!#REF!</definedName>
    <definedName name="NonlabAll1991" localSheetId="1">'[1]Totalexpd '!#REF!</definedName>
    <definedName name="NonlabAll1991" localSheetId="3">'[1]Totalexpd '!#REF!</definedName>
    <definedName name="NonlabAll1991">'[1]Totalexpd '!#REF!</definedName>
    <definedName name="NonlabAll1992" localSheetId="1">'[1]Totalexpd '!#REF!</definedName>
    <definedName name="NonlabAll1992" localSheetId="3">'[1]Totalexpd '!#REF!</definedName>
    <definedName name="NonlabAll1992">'[1]Totalexpd '!#REF!</definedName>
    <definedName name="_xlnm.Print_Area" localSheetId="5">'Elec Actual'!$A$1:$T$50</definedName>
    <definedName name="_xlnm.Print_Area" localSheetId="0">'Elec Gross'!$C$1:$Q$76</definedName>
    <definedName name="_xlnm.Print_Area" localSheetId="1">'Elec Net'!$D$1:$R$76</definedName>
    <definedName name="_xlnm.Print_Area" localSheetId="4">'Gas Actual'!$D$1:$T$45</definedName>
    <definedName name="_xlnm.Print_Area" localSheetId="2">'Gas Gross'!$C$1:$Q$76</definedName>
    <definedName name="_xlnm.Print_Area" localSheetId="3">'Gas Net'!$D$1:$R$76</definedName>
    <definedName name="_xlnm.Print_Titles" localSheetId="6">Net!$B:$B,Net!$1:$2</definedName>
    <definedName name="PTDLaborAll" localSheetId="1">'[1]Totalexpd '!#REF!</definedName>
    <definedName name="PTDLaborAll" localSheetId="3">'[1]Totalexpd '!#REF!</definedName>
    <definedName name="PTDLaborAll">'[1]Totalexpd '!#REF!</definedName>
    <definedName name="PTDnonlabAll" localSheetId="1">'[1]Totalexpd '!#REF!</definedName>
    <definedName name="PTDnonlabAll" localSheetId="3">'[1]Totalexpd '!#REF!</definedName>
    <definedName name="PTDnonlabAll">'[1]Totalexpd '!#REF!</definedName>
    <definedName name="PTDTotal" localSheetId="1">'[1]Totalexpd '!#REF!</definedName>
    <definedName name="PTDTotal" localSheetId="3">'[1]Totalexpd '!#REF!</definedName>
    <definedName name="PTDTotal">'[1]Totalexpd '!#REF!</definedName>
    <definedName name="solver_adj" localSheetId="0" hidden="1">'Elec Gross'!$K$24</definedName>
    <definedName name="solver_adj" localSheetId="1" hidden="1">'Elec Net'!$L$24</definedName>
    <definedName name="solver_adj" localSheetId="2" hidden="1">'Gas Gross'!$K$25</definedName>
    <definedName name="solver_adj" localSheetId="3" hidden="1">'Gas Net'!$L$25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'Elec Gross'!#REF!</definedName>
    <definedName name="solver_opt" localSheetId="1" hidden="1">'Elec Net'!#REF!</definedName>
    <definedName name="solver_opt" localSheetId="2" hidden="1">'Gas Gross'!#REF!</definedName>
    <definedName name="solver_opt" localSheetId="3" hidden="1">'Gas Net'!#REF!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0" hidden="1">248270</definedName>
    <definedName name="solver_val" localSheetId="1" hidden="1">248270</definedName>
    <definedName name="solver_val" localSheetId="2" hidden="1">248270</definedName>
    <definedName name="solver_val" localSheetId="3" hidden="1">248270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YTDLabor" localSheetId="1">'[1]Totalexpd '!#REF!</definedName>
    <definedName name="YTDLabor" localSheetId="3">'[1]Totalexpd '!#REF!</definedName>
    <definedName name="YTDLabor">'[1]Totalexpd '!#REF!</definedName>
    <definedName name="YTDlaborAll" localSheetId="1">'[1]Totalexpd '!#REF!</definedName>
    <definedName name="YTDlaborAll" localSheetId="3">'[1]Totalexpd '!#REF!</definedName>
    <definedName name="YTDlaborAll">'[1]Totalexpd '!#REF!</definedName>
    <definedName name="YTDNonlabAll" localSheetId="1">'[1]Totalexpd '!#REF!</definedName>
    <definedName name="YTDNonlabAll" localSheetId="3">'[1]Totalexpd '!#REF!</definedName>
    <definedName name="YTDNonlabAll">'[1]Totalexpd '!#REF!</definedName>
    <definedName name="YTDTotal" localSheetId="1">'[1]Totalexpd '!#REF!</definedName>
    <definedName name="YTDTotal" localSheetId="3">'[1]Totalexpd '!#REF!</definedName>
    <definedName name="YTDTotal">'[1]Totalexpd '!#REF!</definedName>
    <definedName name="YTDTotalLabor" localSheetId="1">'[1]Totalexpd '!#REF!</definedName>
    <definedName name="YTDTotalLabor" localSheetId="3">'[1]Totalexpd '!#REF!</definedName>
    <definedName name="YTDTotalLabor">'[1]Totalexpd '!#REF!</definedName>
    <definedName name="YTDTotalLaborAlloc" localSheetId="1">'[1]Totalexpd '!#REF!</definedName>
    <definedName name="YTDTotalLaborAlloc" localSheetId="3">'[1]Totalexpd '!#REF!</definedName>
    <definedName name="YTDTotalLaborAlloc">'[1]Totalexpd '!#REF!</definedName>
    <definedName name="YTDTotalNonlabor" localSheetId="1">'[1]Totalexpd '!#REF!</definedName>
    <definedName name="YTDTotalNonlabor" localSheetId="3">'[1]Totalexpd '!#REF!</definedName>
    <definedName name="YTDTotalNonlabor">'[1]Totalexpd '!#REF!</definedName>
    <definedName name="YTDTotalNonlaborAlloc" localSheetId="1">'[1]Totalexpd '!#REF!</definedName>
    <definedName name="YTDTotalNonlaborAlloc" localSheetId="3">'[1]Totalexpd '!#REF!</definedName>
    <definedName name="YTDTotalNonlaborAlloc">'[1]Totalexpd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6" l="1"/>
  <c r="Q74" i="6"/>
  <c r="P74" i="6"/>
  <c r="O74" i="6"/>
  <c r="R74" i="6" s="1"/>
  <c r="M74" i="6"/>
  <c r="N74" i="6" s="1"/>
  <c r="L74" i="6"/>
  <c r="K74" i="6"/>
  <c r="I74" i="6"/>
  <c r="J74" i="6" s="1"/>
  <c r="H74" i="6"/>
  <c r="G74" i="6"/>
  <c r="K74" i="4"/>
  <c r="G74" i="4"/>
  <c r="D74" i="4"/>
  <c r="E74" i="6"/>
  <c r="L67" i="6"/>
  <c r="H67" i="6"/>
  <c r="E67" i="6"/>
  <c r="M66" i="6"/>
  <c r="O67" i="6"/>
  <c r="M65" i="6"/>
  <c r="L22" i="4"/>
  <c r="M22" i="4"/>
  <c r="K67" i="4"/>
  <c r="G67" i="4"/>
  <c r="D67" i="4"/>
  <c r="M67" i="6" l="1"/>
  <c r="N65" i="6"/>
  <c r="Q66" i="6"/>
  <c r="R66" i="6" s="1"/>
  <c r="I65" i="6"/>
  <c r="I67" i="6" s="1"/>
  <c r="G67" i="6"/>
  <c r="J67" i="6" s="1"/>
  <c r="Q65" i="6"/>
  <c r="Q67" i="6" s="1"/>
  <c r="R67" i="6" s="1"/>
  <c r="K67" i="6"/>
  <c r="N67" i="6" s="1"/>
  <c r="I66" i="6"/>
  <c r="J66" i="6" s="1"/>
  <c r="P67" i="6"/>
  <c r="N66" i="6"/>
  <c r="R65" i="6" l="1"/>
  <c r="J65" i="6"/>
  <c r="R78" i="11" l="1"/>
  <c r="O78" i="11"/>
  <c r="I78" i="11"/>
  <c r="F78" i="11"/>
  <c r="L77" i="11"/>
  <c r="L78" i="11" s="1"/>
  <c r="E77" i="11"/>
  <c r="L76" i="11"/>
  <c r="E76" i="11"/>
  <c r="R67" i="11"/>
  <c r="O67" i="11"/>
  <c r="I67" i="11"/>
  <c r="F67" i="11"/>
  <c r="L66" i="11"/>
  <c r="E66" i="11"/>
  <c r="L65" i="11"/>
  <c r="E65" i="11"/>
  <c r="L64" i="11"/>
  <c r="L67" i="11" s="1"/>
  <c r="E64" i="11"/>
  <c r="R62" i="11"/>
  <c r="O62" i="11"/>
  <c r="I62" i="11"/>
  <c r="F62" i="11"/>
  <c r="L61" i="11"/>
  <c r="L62" i="11" s="1"/>
  <c r="E61" i="11"/>
  <c r="L60" i="11"/>
  <c r="E60" i="11"/>
  <c r="E56" i="11"/>
  <c r="S44" i="11"/>
  <c r="R44" i="11"/>
  <c r="P44" i="11"/>
  <c r="O44" i="11"/>
  <c r="J44" i="11"/>
  <c r="K44" i="11" s="1"/>
  <c r="I44" i="11"/>
  <c r="G44" i="11"/>
  <c r="F44" i="11"/>
  <c r="L44" i="11" s="1"/>
  <c r="E44" i="11"/>
  <c r="S43" i="11"/>
  <c r="R43" i="11"/>
  <c r="R45" i="11" s="1"/>
  <c r="R51" i="11" s="1"/>
  <c r="P43" i="11"/>
  <c r="P45" i="11" s="1"/>
  <c r="O43" i="11"/>
  <c r="J43" i="11"/>
  <c r="I43" i="11"/>
  <c r="I45" i="11" s="1"/>
  <c r="I51" i="11" s="1"/>
  <c r="G43" i="11"/>
  <c r="F43" i="11"/>
  <c r="E43" i="11"/>
  <c r="S39" i="11"/>
  <c r="T39" i="11" s="1"/>
  <c r="R39" i="11"/>
  <c r="P39" i="11"/>
  <c r="O39" i="11"/>
  <c r="J39" i="11"/>
  <c r="K39" i="11" s="1"/>
  <c r="I39" i="11"/>
  <c r="G39" i="11"/>
  <c r="F39" i="11"/>
  <c r="E39" i="11"/>
  <c r="S38" i="11"/>
  <c r="T38" i="11" s="1"/>
  <c r="R38" i="11"/>
  <c r="P38" i="11"/>
  <c r="Q38" i="11" s="1"/>
  <c r="O38" i="11"/>
  <c r="O40" i="11" s="1"/>
  <c r="O50" i="11" s="1"/>
  <c r="O71" i="11" s="1"/>
  <c r="J38" i="11"/>
  <c r="I38" i="11"/>
  <c r="G38" i="11"/>
  <c r="F38" i="11"/>
  <c r="E38" i="11"/>
  <c r="S34" i="11"/>
  <c r="T34" i="11" s="1"/>
  <c r="R34" i="11"/>
  <c r="P34" i="11"/>
  <c r="Q34" i="11" s="1"/>
  <c r="O34" i="11"/>
  <c r="J34" i="11"/>
  <c r="I34" i="11"/>
  <c r="G34" i="11"/>
  <c r="F34" i="11"/>
  <c r="E34" i="11"/>
  <c r="S33" i="11"/>
  <c r="T33" i="11" s="1"/>
  <c r="R33" i="11"/>
  <c r="P33" i="11"/>
  <c r="Q33" i="11" s="1"/>
  <c r="O33" i="11"/>
  <c r="J33" i="11"/>
  <c r="I33" i="11"/>
  <c r="G33" i="11"/>
  <c r="H33" i="11" s="1"/>
  <c r="F33" i="11"/>
  <c r="L33" i="11" s="1"/>
  <c r="E33" i="11"/>
  <c r="S32" i="11"/>
  <c r="T32" i="11" s="1"/>
  <c r="R32" i="11"/>
  <c r="P32" i="11"/>
  <c r="Q32" i="11" s="1"/>
  <c r="O32" i="11"/>
  <c r="J32" i="11"/>
  <c r="I32" i="11"/>
  <c r="G32" i="11"/>
  <c r="H32" i="11" s="1"/>
  <c r="F32" i="11"/>
  <c r="E32" i="11"/>
  <c r="S31" i="11"/>
  <c r="T31" i="11" s="1"/>
  <c r="R31" i="11"/>
  <c r="P31" i="11"/>
  <c r="Q31" i="11" s="1"/>
  <c r="O31" i="11"/>
  <c r="J31" i="11"/>
  <c r="K31" i="11" s="1"/>
  <c r="I31" i="11"/>
  <c r="G31" i="11"/>
  <c r="H31" i="11" s="1"/>
  <c r="F31" i="11"/>
  <c r="E31" i="11"/>
  <c r="S30" i="11"/>
  <c r="R30" i="11"/>
  <c r="P30" i="11"/>
  <c r="O30" i="11"/>
  <c r="J30" i="11"/>
  <c r="I30" i="11"/>
  <c r="G30" i="11"/>
  <c r="F30" i="11"/>
  <c r="E30" i="11"/>
  <c r="S29" i="11"/>
  <c r="T29" i="11" s="1"/>
  <c r="R29" i="11"/>
  <c r="P29" i="11"/>
  <c r="Q29" i="11" s="1"/>
  <c r="O29" i="11"/>
  <c r="J29" i="11"/>
  <c r="K29" i="11" s="1"/>
  <c r="I29" i="11"/>
  <c r="G29" i="11"/>
  <c r="H29" i="11" s="1"/>
  <c r="F29" i="11"/>
  <c r="E29" i="11"/>
  <c r="S28" i="11"/>
  <c r="R28" i="11"/>
  <c r="P28" i="11"/>
  <c r="Q28" i="11" s="1"/>
  <c r="O28" i="11"/>
  <c r="J28" i="11"/>
  <c r="I28" i="11"/>
  <c r="G28" i="11"/>
  <c r="F28" i="11"/>
  <c r="E28" i="11"/>
  <c r="S27" i="11"/>
  <c r="T27" i="11" s="1"/>
  <c r="R27" i="11"/>
  <c r="P27" i="11"/>
  <c r="Q27" i="11" s="1"/>
  <c r="O27" i="11"/>
  <c r="J27" i="11"/>
  <c r="I27" i="11"/>
  <c r="G27" i="11"/>
  <c r="H27" i="11" s="1"/>
  <c r="F27" i="11"/>
  <c r="E27" i="11"/>
  <c r="S26" i="11"/>
  <c r="T26" i="11" s="1"/>
  <c r="R26" i="11"/>
  <c r="P26" i="11"/>
  <c r="Q26" i="11" s="1"/>
  <c r="O26" i="11"/>
  <c r="J26" i="11"/>
  <c r="K26" i="11" s="1"/>
  <c r="I26" i="11"/>
  <c r="G26" i="11"/>
  <c r="H26" i="11" s="1"/>
  <c r="F26" i="11"/>
  <c r="L26" i="11" s="1"/>
  <c r="E26" i="11"/>
  <c r="S25" i="11"/>
  <c r="R25" i="11"/>
  <c r="P25" i="11"/>
  <c r="Q25" i="11" s="1"/>
  <c r="O25" i="11"/>
  <c r="J25" i="11"/>
  <c r="I25" i="11"/>
  <c r="G25" i="11"/>
  <c r="F25" i="11"/>
  <c r="E25" i="11"/>
  <c r="S24" i="11"/>
  <c r="R24" i="11"/>
  <c r="P24" i="11"/>
  <c r="O24" i="11"/>
  <c r="J24" i="11"/>
  <c r="I24" i="11"/>
  <c r="G24" i="11"/>
  <c r="H24" i="11" s="1"/>
  <c r="F24" i="11"/>
  <c r="E24" i="11"/>
  <c r="S20" i="11"/>
  <c r="T20" i="11" s="1"/>
  <c r="R20" i="11"/>
  <c r="P20" i="11"/>
  <c r="Q20" i="11" s="1"/>
  <c r="O20" i="11"/>
  <c r="J20" i="11"/>
  <c r="I20" i="11"/>
  <c r="G20" i="11"/>
  <c r="F20" i="11"/>
  <c r="E20" i="11"/>
  <c r="S19" i="11"/>
  <c r="T19" i="11" s="1"/>
  <c r="R19" i="11"/>
  <c r="P19" i="11"/>
  <c r="Q19" i="11" s="1"/>
  <c r="O19" i="11"/>
  <c r="J19" i="11"/>
  <c r="I19" i="11"/>
  <c r="G19" i="11"/>
  <c r="H19" i="11" s="1"/>
  <c r="F19" i="11"/>
  <c r="E19" i="11"/>
  <c r="S18" i="11"/>
  <c r="T18" i="11" s="1"/>
  <c r="R18" i="11"/>
  <c r="P18" i="11"/>
  <c r="Q18" i="11" s="1"/>
  <c r="O18" i="11"/>
  <c r="J18" i="11"/>
  <c r="I18" i="11"/>
  <c r="L18" i="11" s="1"/>
  <c r="G18" i="11"/>
  <c r="H18" i="11" s="1"/>
  <c r="F18" i="11"/>
  <c r="E18" i="11"/>
  <c r="S17" i="11"/>
  <c r="R17" i="11"/>
  <c r="P17" i="11"/>
  <c r="O17" i="11"/>
  <c r="J17" i="11"/>
  <c r="I17" i="11"/>
  <c r="G17" i="11"/>
  <c r="F17" i="11"/>
  <c r="E17" i="11"/>
  <c r="S16" i="11"/>
  <c r="T16" i="11" s="1"/>
  <c r="R16" i="11"/>
  <c r="P16" i="11"/>
  <c r="Q16" i="11" s="1"/>
  <c r="O16" i="11"/>
  <c r="J16" i="11"/>
  <c r="I16" i="11"/>
  <c r="G16" i="11"/>
  <c r="H16" i="11" s="1"/>
  <c r="F16" i="11"/>
  <c r="E16" i="11"/>
  <c r="S15" i="11"/>
  <c r="R15" i="11"/>
  <c r="P15" i="11"/>
  <c r="O15" i="11"/>
  <c r="J15" i="11"/>
  <c r="I15" i="11"/>
  <c r="G15" i="11"/>
  <c r="F15" i="11"/>
  <c r="E15" i="11"/>
  <c r="T14" i="11"/>
  <c r="S14" i="11"/>
  <c r="R14" i="11"/>
  <c r="P14" i="11"/>
  <c r="Q14" i="11" s="1"/>
  <c r="O14" i="11"/>
  <c r="J14" i="11"/>
  <c r="I14" i="11"/>
  <c r="G14" i="11"/>
  <c r="H14" i="11" s="1"/>
  <c r="F14" i="11"/>
  <c r="E14" i="11"/>
  <c r="S13" i="11"/>
  <c r="R13" i="11"/>
  <c r="P13" i="11"/>
  <c r="O13" i="11"/>
  <c r="L13" i="11"/>
  <c r="J13" i="11"/>
  <c r="I13" i="11"/>
  <c r="G13" i="11"/>
  <c r="F13" i="11"/>
  <c r="E13" i="11"/>
  <c r="S12" i="11"/>
  <c r="T12" i="11" s="1"/>
  <c r="R12" i="11"/>
  <c r="P12" i="11"/>
  <c r="Q12" i="11" s="1"/>
  <c r="O12" i="11"/>
  <c r="J12" i="11"/>
  <c r="I12" i="11"/>
  <c r="G12" i="11"/>
  <c r="H12" i="11" s="1"/>
  <c r="F12" i="11"/>
  <c r="E12" i="11"/>
  <c r="S11" i="11"/>
  <c r="R11" i="11"/>
  <c r="P11" i="11"/>
  <c r="Q11" i="11" s="1"/>
  <c r="O11" i="11"/>
  <c r="J11" i="11"/>
  <c r="I11" i="11"/>
  <c r="G11" i="11"/>
  <c r="F11" i="11"/>
  <c r="H11" i="11" s="1"/>
  <c r="E11" i="11"/>
  <c r="S10" i="11"/>
  <c r="T10" i="11" s="1"/>
  <c r="R10" i="11"/>
  <c r="P10" i="11"/>
  <c r="O10" i="11"/>
  <c r="J10" i="11"/>
  <c r="I10" i="11"/>
  <c r="G10" i="11"/>
  <c r="F10" i="11"/>
  <c r="E10" i="11"/>
  <c r="A8" i="11"/>
  <c r="C77" i="11" s="1"/>
  <c r="R74" i="12"/>
  <c r="O74" i="12"/>
  <c r="I74" i="12"/>
  <c r="F74" i="12"/>
  <c r="T73" i="12"/>
  <c r="Q73" i="12"/>
  <c r="N73" i="12"/>
  <c r="M73" i="12"/>
  <c r="L73" i="12"/>
  <c r="K73" i="12"/>
  <c r="H73" i="12"/>
  <c r="E73" i="12"/>
  <c r="C73" i="12"/>
  <c r="T72" i="12"/>
  <c r="Q72" i="12"/>
  <c r="M72" i="12"/>
  <c r="L72" i="12"/>
  <c r="N72" i="12" s="1"/>
  <c r="K72" i="12"/>
  <c r="H72" i="12"/>
  <c r="E72" i="12"/>
  <c r="R57" i="12"/>
  <c r="O57" i="12"/>
  <c r="I57" i="12"/>
  <c r="F57" i="12"/>
  <c r="L56" i="12"/>
  <c r="E56" i="12"/>
  <c r="C56" i="12"/>
  <c r="L55" i="12"/>
  <c r="L57" i="12" s="1"/>
  <c r="E55" i="12"/>
  <c r="L54" i="12"/>
  <c r="E54" i="12"/>
  <c r="C54" i="12"/>
  <c r="R52" i="12"/>
  <c r="O52" i="12"/>
  <c r="L52" i="12"/>
  <c r="I52" i="12"/>
  <c r="F52" i="12"/>
  <c r="L51" i="12"/>
  <c r="E51" i="12"/>
  <c r="C51" i="12"/>
  <c r="E47" i="12"/>
  <c r="S36" i="12"/>
  <c r="T36" i="12" s="1"/>
  <c r="R36" i="12"/>
  <c r="P36" i="12"/>
  <c r="Q36" i="12" s="1"/>
  <c r="O36" i="12"/>
  <c r="J36" i="12"/>
  <c r="K36" i="12" s="1"/>
  <c r="I36" i="12"/>
  <c r="G36" i="12"/>
  <c r="F36" i="12"/>
  <c r="E36" i="12"/>
  <c r="S35" i="12"/>
  <c r="T35" i="12" s="1"/>
  <c r="R35" i="12"/>
  <c r="R37" i="12" s="1"/>
  <c r="R42" i="12" s="1"/>
  <c r="R61" i="12" s="1"/>
  <c r="P35" i="12"/>
  <c r="Q35" i="12" s="1"/>
  <c r="O35" i="12"/>
  <c r="J35" i="12"/>
  <c r="K35" i="12" s="1"/>
  <c r="I35" i="12"/>
  <c r="G35" i="12"/>
  <c r="F35" i="12"/>
  <c r="E35" i="12"/>
  <c r="S31" i="12"/>
  <c r="T31" i="12" s="1"/>
  <c r="R31" i="12"/>
  <c r="P31" i="12"/>
  <c r="Q31" i="12" s="1"/>
  <c r="O31" i="12"/>
  <c r="J31" i="12"/>
  <c r="K31" i="12" s="1"/>
  <c r="I31" i="12"/>
  <c r="G31" i="12"/>
  <c r="H31" i="12" s="1"/>
  <c r="F31" i="12"/>
  <c r="E31" i="12"/>
  <c r="S30" i="12"/>
  <c r="T30" i="12" s="1"/>
  <c r="R30" i="12"/>
  <c r="P30" i="12"/>
  <c r="Q30" i="12" s="1"/>
  <c r="O30" i="12"/>
  <c r="J30" i="12"/>
  <c r="K30" i="12" s="1"/>
  <c r="I30" i="12"/>
  <c r="G30" i="12"/>
  <c r="H30" i="12" s="1"/>
  <c r="F30" i="12"/>
  <c r="E30" i="12"/>
  <c r="S29" i="12"/>
  <c r="T29" i="12" s="1"/>
  <c r="R29" i="12"/>
  <c r="P29" i="12"/>
  <c r="Q29" i="12" s="1"/>
  <c r="O29" i="12"/>
  <c r="J29" i="12"/>
  <c r="K29" i="12" s="1"/>
  <c r="I29" i="12"/>
  <c r="G29" i="12"/>
  <c r="H29" i="12" s="1"/>
  <c r="F29" i="12"/>
  <c r="E29" i="12"/>
  <c r="S28" i="12"/>
  <c r="T28" i="12" s="1"/>
  <c r="R28" i="12"/>
  <c r="P28" i="12"/>
  <c r="Q28" i="12" s="1"/>
  <c r="O28" i="12"/>
  <c r="J28" i="12"/>
  <c r="K28" i="12" s="1"/>
  <c r="I28" i="12"/>
  <c r="G28" i="12"/>
  <c r="H28" i="12" s="1"/>
  <c r="F28" i="12"/>
  <c r="E28" i="12"/>
  <c r="S27" i="12"/>
  <c r="R27" i="12"/>
  <c r="P27" i="12"/>
  <c r="O27" i="12"/>
  <c r="J27" i="12"/>
  <c r="I27" i="12"/>
  <c r="G27" i="12"/>
  <c r="F27" i="12"/>
  <c r="E27" i="12"/>
  <c r="S26" i="12"/>
  <c r="T26" i="12" s="1"/>
  <c r="R26" i="12"/>
  <c r="P26" i="12"/>
  <c r="Q26" i="12" s="1"/>
  <c r="O26" i="12"/>
  <c r="J26" i="12"/>
  <c r="K26" i="12" s="1"/>
  <c r="I26" i="12"/>
  <c r="G26" i="12"/>
  <c r="H26" i="12" s="1"/>
  <c r="F26" i="12"/>
  <c r="E26" i="12"/>
  <c r="S25" i="12"/>
  <c r="T25" i="12" s="1"/>
  <c r="R25" i="12"/>
  <c r="P25" i="12"/>
  <c r="Q25" i="12" s="1"/>
  <c r="O25" i="12"/>
  <c r="J25" i="12"/>
  <c r="K25" i="12" s="1"/>
  <c r="I25" i="12"/>
  <c r="G25" i="12"/>
  <c r="H25" i="12" s="1"/>
  <c r="F25" i="12"/>
  <c r="E25" i="12"/>
  <c r="S24" i="12"/>
  <c r="T24" i="12" s="1"/>
  <c r="R24" i="12"/>
  <c r="P24" i="12"/>
  <c r="Q24" i="12" s="1"/>
  <c r="O24" i="12"/>
  <c r="J24" i="12"/>
  <c r="K24" i="12" s="1"/>
  <c r="I24" i="12"/>
  <c r="G24" i="12"/>
  <c r="H24" i="12" s="1"/>
  <c r="F24" i="12"/>
  <c r="E24" i="12"/>
  <c r="S23" i="12"/>
  <c r="R23" i="12"/>
  <c r="P23" i="12"/>
  <c r="O23" i="12"/>
  <c r="J23" i="12"/>
  <c r="I23" i="12"/>
  <c r="G23" i="12"/>
  <c r="F23" i="12"/>
  <c r="L23" i="12" s="1"/>
  <c r="E23" i="12"/>
  <c r="S22" i="12"/>
  <c r="R22" i="12"/>
  <c r="P22" i="12"/>
  <c r="Q22" i="12" s="1"/>
  <c r="O22" i="12"/>
  <c r="J22" i="12"/>
  <c r="I22" i="12"/>
  <c r="G22" i="12"/>
  <c r="F22" i="12"/>
  <c r="E22" i="12"/>
  <c r="S18" i="12"/>
  <c r="T18" i="12" s="1"/>
  <c r="R18" i="12"/>
  <c r="P18" i="12"/>
  <c r="Q18" i="12" s="1"/>
  <c r="O18" i="12"/>
  <c r="J18" i="12"/>
  <c r="K18" i="12" s="1"/>
  <c r="I18" i="12"/>
  <c r="G18" i="12"/>
  <c r="F18" i="12"/>
  <c r="L18" i="12" s="1"/>
  <c r="E18" i="12"/>
  <c r="S17" i="12"/>
  <c r="T17" i="12" s="1"/>
  <c r="R17" i="12"/>
  <c r="P17" i="12"/>
  <c r="Q17" i="12" s="1"/>
  <c r="O17" i="12"/>
  <c r="J17" i="12"/>
  <c r="K17" i="12" s="1"/>
  <c r="I17" i="12"/>
  <c r="G17" i="12"/>
  <c r="H17" i="12" s="1"/>
  <c r="F17" i="12"/>
  <c r="E17" i="12"/>
  <c r="S16" i="12"/>
  <c r="T16" i="12" s="1"/>
  <c r="R16" i="12"/>
  <c r="P16" i="12"/>
  <c r="Q16" i="12" s="1"/>
  <c r="O16" i="12"/>
  <c r="J16" i="12"/>
  <c r="K16" i="12" s="1"/>
  <c r="I16" i="12"/>
  <c r="G16" i="12"/>
  <c r="H16" i="12" s="1"/>
  <c r="F16" i="12"/>
  <c r="E16" i="12"/>
  <c r="S15" i="12"/>
  <c r="T15" i="12" s="1"/>
  <c r="R15" i="12"/>
  <c r="P15" i="12"/>
  <c r="O15" i="12"/>
  <c r="Q15" i="12" s="1"/>
  <c r="J15" i="12"/>
  <c r="I15" i="12"/>
  <c r="G15" i="12"/>
  <c r="F15" i="12"/>
  <c r="E15" i="12"/>
  <c r="S14" i="12"/>
  <c r="T14" i="12" s="1"/>
  <c r="R14" i="12"/>
  <c r="P14" i="12"/>
  <c r="Q14" i="12" s="1"/>
  <c r="O14" i="12"/>
  <c r="M14" i="12"/>
  <c r="N14" i="12" s="1"/>
  <c r="J14" i="12"/>
  <c r="K14" i="12" s="1"/>
  <c r="I14" i="12"/>
  <c r="G14" i="12"/>
  <c r="H14" i="12" s="1"/>
  <c r="F14" i="12"/>
  <c r="L14" i="12" s="1"/>
  <c r="E14" i="12"/>
  <c r="S13" i="12"/>
  <c r="T13" i="12" s="1"/>
  <c r="R13" i="12"/>
  <c r="P13" i="12"/>
  <c r="Q13" i="12" s="1"/>
  <c r="O13" i="12"/>
  <c r="J13" i="12"/>
  <c r="K13" i="12" s="1"/>
  <c r="I13" i="12"/>
  <c r="G13" i="12"/>
  <c r="H13" i="12" s="1"/>
  <c r="F13" i="12"/>
  <c r="L13" i="12" s="1"/>
  <c r="E13" i="12"/>
  <c r="S12" i="12"/>
  <c r="T12" i="12" s="1"/>
  <c r="R12" i="12"/>
  <c r="P12" i="12"/>
  <c r="Q12" i="12" s="1"/>
  <c r="O12" i="12"/>
  <c r="J12" i="12"/>
  <c r="K12" i="12" s="1"/>
  <c r="I12" i="12"/>
  <c r="G12" i="12"/>
  <c r="H12" i="12" s="1"/>
  <c r="F12" i="12"/>
  <c r="L12" i="12" s="1"/>
  <c r="E12" i="12"/>
  <c r="S11" i="12"/>
  <c r="R11" i="12"/>
  <c r="P11" i="12"/>
  <c r="O11" i="12"/>
  <c r="J11" i="12"/>
  <c r="I11" i="12"/>
  <c r="G11" i="12"/>
  <c r="F11" i="12"/>
  <c r="E11" i="12"/>
  <c r="S10" i="12"/>
  <c r="R10" i="12"/>
  <c r="P10" i="12"/>
  <c r="O10" i="12"/>
  <c r="J10" i="12"/>
  <c r="I10" i="12"/>
  <c r="G10" i="12"/>
  <c r="F10" i="12"/>
  <c r="E10" i="12"/>
  <c r="A8" i="12"/>
  <c r="C55" i="12" s="1"/>
  <c r="C3" i="13"/>
  <c r="D67" i="13"/>
  <c r="G67" i="13"/>
  <c r="T23" i="12" l="1"/>
  <c r="Q30" i="11"/>
  <c r="L10" i="11"/>
  <c r="Q13" i="11"/>
  <c r="L15" i="11"/>
  <c r="H38" i="11"/>
  <c r="H17" i="11"/>
  <c r="I40" i="11"/>
  <c r="I50" i="11" s="1"/>
  <c r="I71" i="11" s="1"/>
  <c r="F45" i="11"/>
  <c r="F51" i="11" s="1"/>
  <c r="K15" i="12"/>
  <c r="K27" i="12"/>
  <c r="G21" i="11"/>
  <c r="G48" i="11" s="1"/>
  <c r="H22" i="12"/>
  <c r="L10" i="12"/>
  <c r="L15" i="12"/>
  <c r="L26" i="12"/>
  <c r="L36" i="12"/>
  <c r="Q15" i="11"/>
  <c r="H44" i="11"/>
  <c r="H15" i="11"/>
  <c r="H34" i="11"/>
  <c r="P19" i="12"/>
  <c r="P40" i="12" s="1"/>
  <c r="M10" i="12"/>
  <c r="L11" i="12"/>
  <c r="I37" i="12"/>
  <c r="I42" i="12" s="1"/>
  <c r="I61" i="12" s="1"/>
  <c r="L14" i="11"/>
  <c r="T15" i="11"/>
  <c r="F35" i="11"/>
  <c r="F49" i="11" s="1"/>
  <c r="F70" i="11" s="1"/>
  <c r="J45" i="11"/>
  <c r="J51" i="11" s="1"/>
  <c r="K51" i="11" s="1"/>
  <c r="H23" i="12"/>
  <c r="M12" i="12"/>
  <c r="N12" i="12" s="1"/>
  <c r="L16" i="12"/>
  <c r="K22" i="12"/>
  <c r="L25" i="12"/>
  <c r="L31" i="12"/>
  <c r="M25" i="11"/>
  <c r="M30" i="11"/>
  <c r="K24" i="11"/>
  <c r="O32" i="12"/>
  <c r="O41" i="12" s="1"/>
  <c r="O60" i="12" s="1"/>
  <c r="O21" i="11"/>
  <c r="O48" i="11" s="1"/>
  <c r="O69" i="11" s="1"/>
  <c r="L17" i="11"/>
  <c r="I32" i="12"/>
  <c r="T27" i="12"/>
  <c r="H35" i="12"/>
  <c r="R32" i="12"/>
  <c r="T32" i="12" s="1"/>
  <c r="L27" i="12"/>
  <c r="L16" i="11"/>
  <c r="H20" i="11"/>
  <c r="M26" i="11"/>
  <c r="N26" i="11" s="1"/>
  <c r="H28" i="11"/>
  <c r="R40" i="11"/>
  <c r="R50" i="11" s="1"/>
  <c r="R71" i="11" s="1"/>
  <c r="K43" i="11"/>
  <c r="H15" i="12"/>
  <c r="H39" i="11"/>
  <c r="J19" i="12"/>
  <c r="J40" i="12" s="1"/>
  <c r="H18" i="12"/>
  <c r="S32" i="12"/>
  <c r="S41" i="12" s="1"/>
  <c r="H27" i="12"/>
  <c r="S21" i="11"/>
  <c r="S48" i="11" s="1"/>
  <c r="H13" i="11"/>
  <c r="Q17" i="11"/>
  <c r="L20" i="11"/>
  <c r="L24" i="11"/>
  <c r="O45" i="11"/>
  <c r="O51" i="11" s="1"/>
  <c r="Q10" i="12"/>
  <c r="M11" i="12"/>
  <c r="M17" i="12"/>
  <c r="N17" i="12" s="1"/>
  <c r="L29" i="12"/>
  <c r="O37" i="12"/>
  <c r="O42" i="12" s="1"/>
  <c r="O61" i="12" s="1"/>
  <c r="K28" i="11"/>
  <c r="F40" i="11"/>
  <c r="H11" i="12"/>
  <c r="T11" i="12"/>
  <c r="Q23" i="12"/>
  <c r="Q27" i="12"/>
  <c r="L35" i="12"/>
  <c r="L37" i="12" s="1"/>
  <c r="L11" i="11"/>
  <c r="R35" i="11"/>
  <c r="L28" i="11"/>
  <c r="L31" i="11"/>
  <c r="H43" i="11"/>
  <c r="S45" i="11"/>
  <c r="S51" i="11" s="1"/>
  <c r="T51" i="11" s="1"/>
  <c r="J65" i="4"/>
  <c r="P51" i="11"/>
  <c r="Q39" i="11"/>
  <c r="F22" i="4"/>
  <c r="H22" i="4" s="1"/>
  <c r="K10" i="12"/>
  <c r="F32" i="12"/>
  <c r="T22" i="12"/>
  <c r="L30" i="12"/>
  <c r="T17" i="11"/>
  <c r="M27" i="11"/>
  <c r="N27" i="11" s="1"/>
  <c r="Q44" i="11"/>
  <c r="F66" i="4"/>
  <c r="F21" i="11"/>
  <c r="L12" i="11"/>
  <c r="T13" i="11"/>
  <c r="L19" i="11"/>
  <c r="M24" i="11"/>
  <c r="N24" i="11" s="1"/>
  <c r="H25" i="11"/>
  <c r="L32" i="11"/>
  <c r="L39" i="11"/>
  <c r="O22" i="4" s="1"/>
  <c r="G40" i="11"/>
  <c r="G50" i="11" s="1"/>
  <c r="K11" i="12"/>
  <c r="M13" i="12"/>
  <c r="N13" i="12" s="1"/>
  <c r="M15" i="12"/>
  <c r="N15" i="12" s="1"/>
  <c r="H36" i="12"/>
  <c r="F37" i="12"/>
  <c r="F42" i="12" s="1"/>
  <c r="F61" i="12" s="1"/>
  <c r="O35" i="11"/>
  <c r="T44" i="11"/>
  <c r="J66" i="4"/>
  <c r="L66" i="4" s="1"/>
  <c r="M66" i="4" s="1"/>
  <c r="R19" i="12"/>
  <c r="F19" i="12"/>
  <c r="F40" i="12" s="1"/>
  <c r="G32" i="12"/>
  <c r="G41" i="12" s="1"/>
  <c r="J37" i="12"/>
  <c r="K37" i="12" s="1"/>
  <c r="H10" i="11"/>
  <c r="T11" i="11"/>
  <c r="P35" i="11"/>
  <c r="P49" i="11" s="1"/>
  <c r="M28" i="11"/>
  <c r="N28" i="11" s="1"/>
  <c r="L43" i="11"/>
  <c r="O65" i="4" s="1"/>
  <c r="O66" i="4"/>
  <c r="H10" i="12"/>
  <c r="S19" i="12"/>
  <c r="S40" i="12" s="1"/>
  <c r="Q11" i="12"/>
  <c r="L17" i="12"/>
  <c r="G19" i="12"/>
  <c r="G40" i="12" s="1"/>
  <c r="H40" i="12" s="1"/>
  <c r="L24" i="12"/>
  <c r="L28" i="12"/>
  <c r="P37" i="12"/>
  <c r="P42" i="12" s="1"/>
  <c r="Q42" i="12" s="1"/>
  <c r="Q24" i="11"/>
  <c r="L30" i="11"/>
  <c r="N30" i="11" s="1"/>
  <c r="P40" i="11"/>
  <c r="I19" i="12"/>
  <c r="M16" i="12"/>
  <c r="N16" i="12" s="1"/>
  <c r="M18" i="12"/>
  <c r="N18" i="12" s="1"/>
  <c r="O19" i="12"/>
  <c r="Q19" i="12" s="1"/>
  <c r="K23" i="12"/>
  <c r="R21" i="11"/>
  <c r="H30" i="11"/>
  <c r="Q43" i="11"/>
  <c r="F65" i="4"/>
  <c r="R49" i="11"/>
  <c r="R70" i="11" s="1"/>
  <c r="L21" i="11"/>
  <c r="R48" i="11"/>
  <c r="T48" i="11" s="1"/>
  <c r="T21" i="11"/>
  <c r="M13" i="11"/>
  <c r="N13" i="11" s="1"/>
  <c r="K13" i="11"/>
  <c r="M10" i="11"/>
  <c r="K10" i="11"/>
  <c r="T25" i="11"/>
  <c r="M31" i="11"/>
  <c r="N31" i="11" s="1"/>
  <c r="S35" i="11"/>
  <c r="S49" i="11" s="1"/>
  <c r="T49" i="11" s="1"/>
  <c r="T43" i="11"/>
  <c r="M18" i="11"/>
  <c r="N18" i="11" s="1"/>
  <c r="K18" i="11"/>
  <c r="M20" i="11"/>
  <c r="N20" i="11" s="1"/>
  <c r="K20" i="11"/>
  <c r="I21" i="11"/>
  <c r="K25" i="11"/>
  <c r="K27" i="11"/>
  <c r="M29" i="11"/>
  <c r="N29" i="11" s="1"/>
  <c r="T30" i="11"/>
  <c r="M32" i="11"/>
  <c r="N32" i="11" s="1"/>
  <c r="K32" i="11"/>
  <c r="F50" i="11"/>
  <c r="H40" i="11"/>
  <c r="O52" i="11"/>
  <c r="P21" i="11"/>
  <c r="P48" i="11" s="1"/>
  <c r="M17" i="11"/>
  <c r="N17" i="11" s="1"/>
  <c r="K17" i="11"/>
  <c r="J21" i="11"/>
  <c r="J48" i="11" s="1"/>
  <c r="L34" i="11"/>
  <c r="S40" i="11"/>
  <c r="O49" i="11"/>
  <c r="O70" i="11" s="1"/>
  <c r="O72" i="11" s="1"/>
  <c r="O74" i="11" s="1"/>
  <c r="M15" i="11"/>
  <c r="N15" i="11" s="1"/>
  <c r="K15" i="11"/>
  <c r="C66" i="11"/>
  <c r="C76" i="11"/>
  <c r="C60" i="11"/>
  <c r="C65" i="11"/>
  <c r="M12" i="11"/>
  <c r="N12" i="11" s="1"/>
  <c r="K12" i="11"/>
  <c r="H21" i="11"/>
  <c r="Q10" i="11"/>
  <c r="M14" i="11"/>
  <c r="N14" i="11" s="1"/>
  <c r="K14" i="11"/>
  <c r="I35" i="11"/>
  <c r="T24" i="11"/>
  <c r="T28" i="11"/>
  <c r="K30" i="11"/>
  <c r="M33" i="11"/>
  <c r="N33" i="11" s="1"/>
  <c r="K33" i="11"/>
  <c r="T45" i="11"/>
  <c r="J35" i="11"/>
  <c r="J49" i="11" s="1"/>
  <c r="J40" i="11"/>
  <c r="F48" i="11"/>
  <c r="C64" i="11"/>
  <c r="H48" i="11"/>
  <c r="M11" i="11"/>
  <c r="N11" i="11" s="1"/>
  <c r="K11" i="11"/>
  <c r="M19" i="11"/>
  <c r="N19" i="11" s="1"/>
  <c r="K19" i="11"/>
  <c r="M16" i="11"/>
  <c r="N16" i="11" s="1"/>
  <c r="K16" i="11"/>
  <c r="L25" i="11"/>
  <c r="L27" i="11"/>
  <c r="L29" i="11"/>
  <c r="M34" i="11"/>
  <c r="K34" i="11"/>
  <c r="K38" i="11"/>
  <c r="C61" i="11"/>
  <c r="L38" i="11"/>
  <c r="M43" i="11"/>
  <c r="N65" i="4" s="1"/>
  <c r="M44" i="11"/>
  <c r="M38" i="11"/>
  <c r="M39" i="11"/>
  <c r="G45" i="11"/>
  <c r="G35" i="11"/>
  <c r="G49" i="11" s="1"/>
  <c r="H49" i="11" s="1"/>
  <c r="R40" i="12"/>
  <c r="F59" i="12"/>
  <c r="F41" i="12"/>
  <c r="F60" i="12" s="1"/>
  <c r="H32" i="12"/>
  <c r="K19" i="12"/>
  <c r="I40" i="12"/>
  <c r="K40" i="12" s="1"/>
  <c r="R41" i="12"/>
  <c r="R60" i="12" s="1"/>
  <c r="N10" i="12"/>
  <c r="L22" i="12"/>
  <c r="M35" i="12"/>
  <c r="M36" i="12"/>
  <c r="N36" i="12" s="1"/>
  <c r="T10" i="12"/>
  <c r="M22" i="12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G37" i="12"/>
  <c r="I41" i="12"/>
  <c r="I60" i="12" s="1"/>
  <c r="C72" i="12"/>
  <c r="P32" i="12"/>
  <c r="P41" i="12" s="1"/>
  <c r="Q41" i="12" s="1"/>
  <c r="J32" i="12"/>
  <c r="J41" i="12" s="1"/>
  <c r="S37" i="12"/>
  <c r="L74" i="12"/>
  <c r="K68" i="13"/>
  <c r="K67" i="13"/>
  <c r="L19" i="12" l="1"/>
  <c r="K45" i="11"/>
  <c r="L32" i="12"/>
  <c r="L40" i="11"/>
  <c r="H19" i="12"/>
  <c r="N11" i="12"/>
  <c r="Q21" i="11"/>
  <c r="Q49" i="11"/>
  <c r="Q37" i="12"/>
  <c r="O40" i="12"/>
  <c r="Q40" i="12" s="1"/>
  <c r="Q51" i="11"/>
  <c r="T40" i="12"/>
  <c r="Q45" i="11"/>
  <c r="J74" i="4"/>
  <c r="J67" i="4"/>
  <c r="L65" i="4"/>
  <c r="M65" i="4" s="1"/>
  <c r="N39" i="11"/>
  <c r="N22" i="4"/>
  <c r="J42" i="12"/>
  <c r="L45" i="11"/>
  <c r="L51" i="11" s="1"/>
  <c r="T41" i="12"/>
  <c r="N44" i="11"/>
  <c r="N66" i="4"/>
  <c r="N67" i="4" s="1"/>
  <c r="T35" i="11"/>
  <c r="O67" i="4"/>
  <c r="O74" i="4"/>
  <c r="P65" i="4"/>
  <c r="N74" i="4"/>
  <c r="L35" i="11"/>
  <c r="L49" i="11" s="1"/>
  <c r="L70" i="11" s="1"/>
  <c r="H35" i="11"/>
  <c r="M19" i="12"/>
  <c r="M40" i="12" s="1"/>
  <c r="H65" i="4"/>
  <c r="F74" i="4"/>
  <c r="F67" i="4"/>
  <c r="H66" i="4"/>
  <c r="I66" i="4"/>
  <c r="T19" i="12"/>
  <c r="Q40" i="11"/>
  <c r="P50" i="11"/>
  <c r="Q50" i="11" s="1"/>
  <c r="Q35" i="11"/>
  <c r="N10" i="11"/>
  <c r="M21" i="11"/>
  <c r="M48" i="11" s="1"/>
  <c r="F69" i="11"/>
  <c r="F52" i="11"/>
  <c r="M35" i="11"/>
  <c r="M49" i="11" s="1"/>
  <c r="N25" i="11"/>
  <c r="G51" i="11"/>
  <c r="H45" i="11"/>
  <c r="J50" i="11"/>
  <c r="K50" i="11" s="1"/>
  <c r="K40" i="11"/>
  <c r="N34" i="11"/>
  <c r="L48" i="11"/>
  <c r="Q48" i="11"/>
  <c r="N38" i="11"/>
  <c r="M40" i="11"/>
  <c r="M50" i="11" s="1"/>
  <c r="N43" i="11"/>
  <c r="M45" i="11"/>
  <c r="I49" i="11"/>
  <c r="I70" i="11" s="1"/>
  <c r="K35" i="11"/>
  <c r="R69" i="11"/>
  <c r="R72" i="11" s="1"/>
  <c r="R74" i="11" s="1"/>
  <c r="R52" i="11"/>
  <c r="L50" i="11"/>
  <c r="L71" i="11" s="1"/>
  <c r="N40" i="11"/>
  <c r="S50" i="11"/>
  <c r="T40" i="11"/>
  <c r="H50" i="11"/>
  <c r="F71" i="11"/>
  <c r="I48" i="11"/>
  <c r="K48" i="11" s="1"/>
  <c r="K21" i="11"/>
  <c r="O59" i="12"/>
  <c r="O62" i="12" s="1"/>
  <c r="O64" i="12" s="1"/>
  <c r="O43" i="12"/>
  <c r="Q43" i="12" s="1"/>
  <c r="Q32" i="12"/>
  <c r="M37" i="12"/>
  <c r="M42" i="12" s="1"/>
  <c r="N35" i="12"/>
  <c r="L41" i="12"/>
  <c r="L60" i="12" s="1"/>
  <c r="F43" i="12"/>
  <c r="F62" i="12"/>
  <c r="G42" i="12"/>
  <c r="H37" i="12"/>
  <c r="I43" i="12"/>
  <c r="I59" i="12"/>
  <c r="I62" i="12" s="1"/>
  <c r="T37" i="12"/>
  <c r="S42" i="12"/>
  <c r="H41" i="12"/>
  <c r="P43" i="12"/>
  <c r="L42" i="12"/>
  <c r="L61" i="12" s="1"/>
  <c r="K41" i="12"/>
  <c r="N22" i="12"/>
  <c r="M32" i="12"/>
  <c r="M41" i="12" s="1"/>
  <c r="K32" i="12"/>
  <c r="L40" i="12"/>
  <c r="R59" i="12"/>
  <c r="R62" i="12" s="1"/>
  <c r="R64" i="12" s="1"/>
  <c r="R43" i="12"/>
  <c r="N37" i="12" l="1"/>
  <c r="J52" i="11"/>
  <c r="N19" i="12"/>
  <c r="N50" i="11"/>
  <c r="N35" i="11"/>
  <c r="P52" i="11"/>
  <c r="Q52" i="11" s="1"/>
  <c r="P66" i="4"/>
  <c r="Q66" i="4" s="1"/>
  <c r="N21" i="11"/>
  <c r="N42" i="12"/>
  <c r="P22" i="4"/>
  <c r="Q22" i="4" s="1"/>
  <c r="I65" i="4"/>
  <c r="H74" i="4"/>
  <c r="I74" i="4" s="1"/>
  <c r="N49" i="11"/>
  <c r="F72" i="11"/>
  <c r="K42" i="12"/>
  <c r="J43" i="12"/>
  <c r="K43" i="12" s="1"/>
  <c r="L74" i="4"/>
  <c r="M74" i="4" s="1"/>
  <c r="L67" i="4"/>
  <c r="M67" i="4" s="1"/>
  <c r="H67" i="4"/>
  <c r="Q65" i="4"/>
  <c r="I67" i="4"/>
  <c r="H51" i="11"/>
  <c r="G52" i="11"/>
  <c r="H52" i="11" s="1"/>
  <c r="K49" i="11"/>
  <c r="I69" i="11"/>
  <c r="I72" i="11" s="1"/>
  <c r="I52" i="11"/>
  <c r="K52" i="11" s="1"/>
  <c r="N48" i="11"/>
  <c r="T50" i="11"/>
  <c r="S52" i="11"/>
  <c r="T52" i="11" s="1"/>
  <c r="L52" i="11"/>
  <c r="L69" i="11"/>
  <c r="L72" i="11" s="1"/>
  <c r="L74" i="11" s="1"/>
  <c r="M51" i="11"/>
  <c r="N51" i="11" s="1"/>
  <c r="N45" i="11"/>
  <c r="N32" i="12"/>
  <c r="L43" i="12"/>
  <c r="L59" i="12"/>
  <c r="L62" i="12" s="1"/>
  <c r="L64" i="12" s="1"/>
  <c r="N40" i="12"/>
  <c r="N41" i="12"/>
  <c r="M43" i="12"/>
  <c r="T42" i="12"/>
  <c r="S43" i="12"/>
  <c r="T43" i="12" s="1"/>
  <c r="H42" i="12"/>
  <c r="G43" i="12"/>
  <c r="H43" i="12" s="1"/>
  <c r="K75" i="4"/>
  <c r="G75" i="4"/>
  <c r="D75" i="4"/>
  <c r="P67" i="4" l="1"/>
  <c r="Q67" i="4" s="1"/>
  <c r="P74" i="4"/>
  <c r="Q74" i="4" s="1"/>
  <c r="M52" i="11"/>
  <c r="N52" i="11" s="1"/>
  <c r="N43" i="12"/>
  <c r="G68" i="13"/>
  <c r="D68" i="13"/>
  <c r="A10" i="14" l="1"/>
  <c r="B10" i="14"/>
  <c r="K10" i="14" l="1"/>
  <c r="G10" i="14"/>
  <c r="F59" i="14"/>
  <c r="B59" i="14"/>
  <c r="A59" i="14"/>
  <c r="F58" i="14"/>
  <c r="B58" i="14"/>
  <c r="A58" i="14"/>
  <c r="F57" i="14"/>
  <c r="B57" i="14"/>
  <c r="A57" i="14"/>
  <c r="F56" i="14"/>
  <c r="B56" i="14"/>
  <c r="A56" i="14"/>
  <c r="F55" i="14"/>
  <c r="B55" i="14"/>
  <c r="A55" i="14"/>
  <c r="F54" i="14"/>
  <c r="B54" i="14"/>
  <c r="A54" i="14"/>
  <c r="F53" i="14"/>
  <c r="B53" i="14"/>
  <c r="A53" i="14"/>
  <c r="F52" i="14"/>
  <c r="B52" i="14"/>
  <c r="A52" i="14"/>
  <c r="F51" i="14"/>
  <c r="B51" i="14"/>
  <c r="A51" i="14"/>
  <c r="F50" i="14"/>
  <c r="B50" i="14"/>
  <c r="A50" i="14"/>
  <c r="F49" i="14"/>
  <c r="B49" i="14"/>
  <c r="A49" i="14"/>
  <c r="F48" i="14"/>
  <c r="B48" i="14"/>
  <c r="A48" i="14"/>
  <c r="F47" i="14"/>
  <c r="B47" i="14"/>
  <c r="A47" i="14"/>
  <c r="F46" i="14"/>
  <c r="B46" i="14"/>
  <c r="A46" i="14"/>
  <c r="F45" i="14"/>
  <c r="B45" i="14"/>
  <c r="A45" i="14"/>
  <c r="F44" i="14"/>
  <c r="B44" i="14"/>
  <c r="A44" i="14"/>
  <c r="F43" i="14"/>
  <c r="B43" i="14"/>
  <c r="A43" i="14"/>
  <c r="F42" i="14"/>
  <c r="B42" i="14"/>
  <c r="A42" i="14"/>
  <c r="F41" i="14"/>
  <c r="B41" i="14"/>
  <c r="A41" i="14"/>
  <c r="F40" i="14"/>
  <c r="B40" i="14"/>
  <c r="A40" i="14"/>
  <c r="F39" i="14"/>
  <c r="B39" i="14"/>
  <c r="A39" i="14"/>
  <c r="F38" i="14"/>
  <c r="B38" i="14"/>
  <c r="A38" i="14"/>
  <c r="F37" i="14"/>
  <c r="B37" i="14"/>
  <c r="A37" i="14"/>
  <c r="F36" i="14"/>
  <c r="B36" i="14"/>
  <c r="A36" i="14"/>
  <c r="F35" i="14"/>
  <c r="B35" i="14"/>
  <c r="A35" i="14"/>
  <c r="F34" i="14"/>
  <c r="B34" i="14"/>
  <c r="A34" i="14"/>
  <c r="F33" i="14"/>
  <c r="B33" i="14"/>
  <c r="A33" i="14"/>
  <c r="F32" i="14"/>
  <c r="B32" i="14"/>
  <c r="A32" i="14"/>
  <c r="F31" i="14"/>
  <c r="B31" i="14"/>
  <c r="A31" i="14"/>
  <c r="F30" i="14"/>
  <c r="B30" i="14"/>
  <c r="A30" i="14"/>
  <c r="F29" i="14"/>
  <c r="B29" i="14"/>
  <c r="A29" i="14"/>
  <c r="F28" i="14"/>
  <c r="B28" i="14"/>
  <c r="A28" i="14"/>
  <c r="F27" i="14"/>
  <c r="B27" i="14"/>
  <c r="A27" i="14"/>
  <c r="F26" i="14"/>
  <c r="B26" i="14"/>
  <c r="A26" i="14"/>
  <c r="F25" i="14"/>
  <c r="B25" i="14"/>
  <c r="A25" i="14"/>
  <c r="F24" i="14"/>
  <c r="B24" i="14"/>
  <c r="A24" i="14"/>
  <c r="F23" i="14"/>
  <c r="B23" i="14"/>
  <c r="A23" i="14"/>
  <c r="F22" i="14"/>
  <c r="B22" i="14"/>
  <c r="A22" i="14"/>
  <c r="F21" i="14"/>
  <c r="B21" i="14"/>
  <c r="A21" i="14"/>
  <c r="F20" i="14"/>
  <c r="B20" i="14"/>
  <c r="A20" i="14"/>
  <c r="F19" i="14"/>
  <c r="B19" i="14"/>
  <c r="A19" i="14"/>
  <c r="F18" i="14"/>
  <c r="B18" i="14"/>
  <c r="A18" i="14"/>
  <c r="F17" i="14"/>
  <c r="B17" i="14"/>
  <c r="A17" i="14"/>
  <c r="F16" i="14"/>
  <c r="B16" i="14"/>
  <c r="A16" i="14"/>
  <c r="F15" i="14"/>
  <c r="B15" i="14"/>
  <c r="A15" i="14"/>
  <c r="F14" i="14"/>
  <c r="B14" i="14"/>
  <c r="A14" i="14"/>
  <c r="F13" i="14"/>
  <c r="B13" i="14"/>
  <c r="A13" i="14"/>
  <c r="F12" i="14"/>
  <c r="B12" i="14"/>
  <c r="A12" i="14"/>
  <c r="F11" i="14"/>
  <c r="B11" i="14"/>
  <c r="A11" i="14"/>
  <c r="F10" i="14"/>
  <c r="D3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10" i="14"/>
  <c r="H67" i="14" l="1"/>
  <c r="L67" i="14"/>
  <c r="G13" i="14"/>
  <c r="K13" i="14"/>
  <c r="G17" i="14"/>
  <c r="K17" i="14"/>
  <c r="G21" i="14"/>
  <c r="K21" i="14"/>
  <c r="G25" i="14"/>
  <c r="K25" i="14"/>
  <c r="G29" i="14"/>
  <c r="K29" i="14"/>
  <c r="G33" i="14"/>
  <c r="K33" i="14"/>
  <c r="G37" i="14"/>
  <c r="K37" i="14"/>
  <c r="G41" i="14"/>
  <c r="K41" i="14"/>
  <c r="G45" i="14"/>
  <c r="K45" i="14"/>
  <c r="G49" i="14"/>
  <c r="K49" i="14"/>
  <c r="G53" i="14"/>
  <c r="K53" i="14"/>
  <c r="G57" i="14"/>
  <c r="K57" i="14"/>
  <c r="K12" i="14"/>
  <c r="G12" i="14"/>
  <c r="G16" i="14"/>
  <c r="K16" i="14"/>
  <c r="K20" i="14"/>
  <c r="G20" i="14"/>
  <c r="K24" i="14"/>
  <c r="G24" i="14"/>
  <c r="K28" i="14"/>
  <c r="G28" i="14"/>
  <c r="K32" i="14"/>
  <c r="G32" i="14"/>
  <c r="K36" i="14"/>
  <c r="G36" i="14"/>
  <c r="K40" i="14"/>
  <c r="G40" i="14"/>
  <c r="K44" i="14"/>
  <c r="G44" i="14"/>
  <c r="K48" i="14"/>
  <c r="G48" i="14"/>
  <c r="K52" i="14"/>
  <c r="G52" i="14"/>
  <c r="K56" i="14"/>
  <c r="G56" i="14"/>
  <c r="K11" i="14"/>
  <c r="G11" i="14"/>
  <c r="K15" i="14"/>
  <c r="G15" i="14"/>
  <c r="K19" i="14"/>
  <c r="G19" i="14"/>
  <c r="K23" i="14"/>
  <c r="G23" i="14"/>
  <c r="K27" i="14"/>
  <c r="G27" i="14"/>
  <c r="K31" i="14"/>
  <c r="G31" i="14"/>
  <c r="K35" i="14"/>
  <c r="G35" i="14"/>
  <c r="K39" i="14"/>
  <c r="G39" i="14"/>
  <c r="K43" i="14"/>
  <c r="G43" i="14"/>
  <c r="K47" i="14"/>
  <c r="G47" i="14"/>
  <c r="K51" i="14"/>
  <c r="G51" i="14"/>
  <c r="K55" i="14"/>
  <c r="G55" i="14"/>
  <c r="K59" i="14"/>
  <c r="G59" i="14"/>
  <c r="G14" i="14"/>
  <c r="K14" i="14"/>
  <c r="K18" i="14"/>
  <c r="G18" i="14"/>
  <c r="K22" i="14"/>
  <c r="G22" i="14"/>
  <c r="G26" i="14"/>
  <c r="K26" i="14"/>
  <c r="K30" i="14"/>
  <c r="G30" i="14"/>
  <c r="G34" i="14"/>
  <c r="K34" i="14"/>
  <c r="K38" i="14"/>
  <c r="G38" i="14"/>
  <c r="G42" i="14"/>
  <c r="K42" i="14"/>
  <c r="G46" i="14"/>
  <c r="K46" i="14"/>
  <c r="K50" i="14"/>
  <c r="G50" i="14"/>
  <c r="G54" i="14"/>
  <c r="K54" i="14"/>
  <c r="K58" i="14"/>
  <c r="G58" i="14"/>
  <c r="H68" i="14"/>
  <c r="L68" i="14"/>
  <c r="K67" i="14" l="1"/>
  <c r="G67" i="14"/>
  <c r="K68" i="14"/>
  <c r="G68" i="14"/>
  <c r="E11" i="14"/>
  <c r="E12" i="14"/>
  <c r="E13" i="14"/>
  <c r="E14" i="14"/>
  <c r="E15" i="14"/>
  <c r="E16" i="14"/>
  <c r="E17" i="14"/>
  <c r="E18" i="14"/>
  <c r="E19" i="14"/>
  <c r="E68" i="14" s="1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10" i="14"/>
  <c r="E67" i="14" l="1"/>
  <c r="F17" i="6"/>
  <c r="A11" i="6" l="1"/>
  <c r="B11" i="6"/>
  <c r="D11" i="6"/>
  <c r="A12" i="6"/>
  <c r="B12" i="6"/>
  <c r="D12" i="6"/>
  <c r="A13" i="6"/>
  <c r="B13" i="6"/>
  <c r="D13" i="6"/>
  <c r="A14" i="6"/>
  <c r="B14" i="6"/>
  <c r="D14" i="6"/>
  <c r="A15" i="6"/>
  <c r="B15" i="6"/>
  <c r="D15" i="6"/>
  <c r="A16" i="6"/>
  <c r="B16" i="6"/>
  <c r="D16" i="6"/>
  <c r="A17" i="6"/>
  <c r="B17" i="6"/>
  <c r="D17" i="6"/>
  <c r="A18" i="6"/>
  <c r="B18" i="6"/>
  <c r="D18" i="6"/>
  <c r="A19" i="6"/>
  <c r="B19" i="6"/>
  <c r="D19" i="6"/>
  <c r="A20" i="6"/>
  <c r="B20" i="6"/>
  <c r="D20" i="6"/>
  <c r="A21" i="6"/>
  <c r="B21" i="6"/>
  <c r="D21" i="6"/>
  <c r="A22" i="6"/>
  <c r="B22" i="6"/>
  <c r="D22" i="6"/>
  <c r="A23" i="6"/>
  <c r="B23" i="6"/>
  <c r="D23" i="6"/>
  <c r="A24" i="6"/>
  <c r="B24" i="6"/>
  <c r="D24" i="6"/>
  <c r="A25" i="6"/>
  <c r="B25" i="6"/>
  <c r="D25" i="6"/>
  <c r="A26" i="6"/>
  <c r="B26" i="6"/>
  <c r="D26" i="6"/>
  <c r="A27" i="6"/>
  <c r="B27" i="6"/>
  <c r="D27" i="6"/>
  <c r="K23" i="6" l="1"/>
  <c r="G23" i="6"/>
  <c r="K12" i="6"/>
  <c r="G12" i="6"/>
  <c r="G24" i="6"/>
  <c r="K24" i="6"/>
  <c r="G21" i="6"/>
  <c r="K21" i="6"/>
  <c r="G17" i="6"/>
  <c r="K17" i="6"/>
  <c r="G13" i="6"/>
  <c r="K13" i="6"/>
  <c r="K27" i="6"/>
  <c r="G27" i="6"/>
  <c r="K20" i="6"/>
  <c r="G20" i="6"/>
  <c r="K16" i="6"/>
  <c r="G25" i="6"/>
  <c r="K25" i="6"/>
  <c r="G22" i="6"/>
  <c r="K22" i="6"/>
  <c r="G18" i="6"/>
  <c r="K18" i="6"/>
  <c r="G14" i="6"/>
  <c r="K14" i="6"/>
  <c r="K26" i="6"/>
  <c r="G26" i="6"/>
  <c r="K19" i="6"/>
  <c r="G19" i="6"/>
  <c r="K15" i="6"/>
  <c r="G15" i="6"/>
  <c r="K11" i="6"/>
  <c r="G11" i="6"/>
  <c r="N22" i="13"/>
  <c r="O22" i="14" s="1"/>
  <c r="O22" i="13"/>
  <c r="P22" i="14" s="1"/>
  <c r="N23" i="13"/>
  <c r="O23" i="14" s="1"/>
  <c r="O23" i="13"/>
  <c r="P23" i="14" s="1"/>
  <c r="N24" i="13"/>
  <c r="O24" i="14" s="1"/>
  <c r="O24" i="13"/>
  <c r="P24" i="14" s="1"/>
  <c r="N25" i="13"/>
  <c r="O25" i="14" s="1"/>
  <c r="O25" i="13"/>
  <c r="P25" i="14" s="1"/>
  <c r="N26" i="13"/>
  <c r="O26" i="13"/>
  <c r="P26" i="14" s="1"/>
  <c r="N27" i="13"/>
  <c r="O27" i="13"/>
  <c r="N28" i="13"/>
  <c r="O28" i="13"/>
  <c r="P28" i="14" s="1"/>
  <c r="N29" i="13"/>
  <c r="O29" i="14" s="1"/>
  <c r="O29" i="13"/>
  <c r="P29" i="14" s="1"/>
  <c r="N30" i="13"/>
  <c r="O30" i="13"/>
  <c r="P30" i="14" s="1"/>
  <c r="N31" i="13"/>
  <c r="O31" i="13"/>
  <c r="P31" i="14" s="1"/>
  <c r="N32" i="13"/>
  <c r="O32" i="14" s="1"/>
  <c r="O32" i="13"/>
  <c r="P32" i="14" s="1"/>
  <c r="N33" i="13"/>
  <c r="O33" i="14" s="1"/>
  <c r="O33" i="13"/>
  <c r="P33" i="14" s="1"/>
  <c r="N34" i="13"/>
  <c r="O34" i="13"/>
  <c r="P34" i="14" s="1"/>
  <c r="N35" i="13"/>
  <c r="O35" i="14" s="1"/>
  <c r="O35" i="13"/>
  <c r="P35" i="14" s="1"/>
  <c r="N36" i="13"/>
  <c r="O36" i="13"/>
  <c r="P36" i="14" s="1"/>
  <c r="N37" i="13"/>
  <c r="O37" i="13"/>
  <c r="P37" i="14" s="1"/>
  <c r="N38" i="13"/>
  <c r="O38" i="13"/>
  <c r="P38" i="14" s="1"/>
  <c r="N39" i="13"/>
  <c r="O39" i="14" s="1"/>
  <c r="O39" i="13"/>
  <c r="P39" i="14" s="1"/>
  <c r="N40" i="13"/>
  <c r="O40" i="13"/>
  <c r="P40" i="14" s="1"/>
  <c r="N41" i="13"/>
  <c r="O41" i="13"/>
  <c r="P41" i="14" s="1"/>
  <c r="N42" i="13"/>
  <c r="O42" i="13"/>
  <c r="P42" i="14" s="1"/>
  <c r="N43" i="13"/>
  <c r="O43" i="14" s="1"/>
  <c r="O43" i="13"/>
  <c r="N44" i="13"/>
  <c r="O44" i="13"/>
  <c r="P44" i="14" s="1"/>
  <c r="N45" i="13"/>
  <c r="O45" i="14" s="1"/>
  <c r="O45" i="13"/>
  <c r="P45" i="14" s="1"/>
  <c r="N46" i="13"/>
  <c r="O46" i="13"/>
  <c r="P46" i="14" s="1"/>
  <c r="N47" i="13"/>
  <c r="O47" i="13"/>
  <c r="N48" i="13"/>
  <c r="O48" i="13"/>
  <c r="P48" i="14" s="1"/>
  <c r="N49" i="13"/>
  <c r="O49" i="14" s="1"/>
  <c r="O49" i="13"/>
  <c r="P49" i="14" s="1"/>
  <c r="N50" i="13"/>
  <c r="O50" i="13"/>
  <c r="P50" i="14" s="1"/>
  <c r="N51" i="13"/>
  <c r="O51" i="14" s="1"/>
  <c r="O51" i="13"/>
  <c r="N52" i="13"/>
  <c r="O52" i="13"/>
  <c r="P52" i="14" s="1"/>
  <c r="N53" i="13"/>
  <c r="O53" i="13"/>
  <c r="P53" i="14" s="1"/>
  <c r="N54" i="13"/>
  <c r="O54" i="13"/>
  <c r="P54" i="14" s="1"/>
  <c r="N55" i="13"/>
  <c r="O55" i="14" s="1"/>
  <c r="O55" i="13"/>
  <c r="N56" i="13"/>
  <c r="O56" i="13"/>
  <c r="P56" i="14" s="1"/>
  <c r="N57" i="13"/>
  <c r="O57" i="13"/>
  <c r="P57" i="14" s="1"/>
  <c r="N58" i="13"/>
  <c r="O58" i="13"/>
  <c r="P58" i="14" s="1"/>
  <c r="N59" i="13"/>
  <c r="O59" i="13"/>
  <c r="J22" i="13"/>
  <c r="J23" i="13"/>
  <c r="J24" i="13"/>
  <c r="J25" i="13"/>
  <c r="M25" i="14" s="1"/>
  <c r="N25" i="14" s="1"/>
  <c r="J26" i="13"/>
  <c r="J27" i="13"/>
  <c r="J28" i="13"/>
  <c r="J29" i="13"/>
  <c r="N29" i="14" s="1"/>
  <c r="J30" i="13"/>
  <c r="M30" i="14" s="1"/>
  <c r="J31" i="13"/>
  <c r="J32" i="13"/>
  <c r="J33" i="13"/>
  <c r="J34" i="13"/>
  <c r="J35" i="13"/>
  <c r="J36" i="13"/>
  <c r="L36" i="13" s="1"/>
  <c r="J37" i="13"/>
  <c r="J38" i="13"/>
  <c r="M38" i="14" s="1"/>
  <c r="J39" i="13"/>
  <c r="J40" i="13"/>
  <c r="M40" i="13" s="1"/>
  <c r="J41" i="13"/>
  <c r="J42" i="13"/>
  <c r="J43" i="13"/>
  <c r="M43" i="13" s="1"/>
  <c r="J44" i="13"/>
  <c r="J45" i="13"/>
  <c r="N45" i="14" s="1"/>
  <c r="J46" i="13"/>
  <c r="M46" i="14" s="1"/>
  <c r="J47" i="13"/>
  <c r="J48" i="13"/>
  <c r="J49" i="13"/>
  <c r="N49" i="14" s="1"/>
  <c r="J50" i="13"/>
  <c r="J51" i="13"/>
  <c r="J52" i="13"/>
  <c r="M52" i="13" s="1"/>
  <c r="J53" i="13"/>
  <c r="J54" i="13"/>
  <c r="M54" i="14" s="1"/>
  <c r="J55" i="13"/>
  <c r="J56" i="13"/>
  <c r="M56" i="13" s="1"/>
  <c r="J57" i="13"/>
  <c r="J58" i="13"/>
  <c r="J59" i="13"/>
  <c r="F22" i="13"/>
  <c r="H22" i="13" s="1"/>
  <c r="F23" i="13"/>
  <c r="F24" i="13"/>
  <c r="F25" i="13"/>
  <c r="F26" i="13"/>
  <c r="F27" i="13"/>
  <c r="F28" i="13"/>
  <c r="F29" i="13"/>
  <c r="H29" i="13" s="1"/>
  <c r="F30" i="13"/>
  <c r="J30" i="14" s="1"/>
  <c r="F31" i="13"/>
  <c r="J31" i="14" s="1"/>
  <c r="F32" i="13"/>
  <c r="F33" i="13"/>
  <c r="I33" i="14" s="1"/>
  <c r="F34" i="13"/>
  <c r="F35" i="13"/>
  <c r="F36" i="13"/>
  <c r="F37" i="13"/>
  <c r="F38" i="13"/>
  <c r="I38" i="13" s="1"/>
  <c r="F39" i="13"/>
  <c r="J39" i="14" s="1"/>
  <c r="F40" i="13"/>
  <c r="F41" i="13"/>
  <c r="J41" i="14" s="1"/>
  <c r="F42" i="13"/>
  <c r="F43" i="13"/>
  <c r="F44" i="13"/>
  <c r="F45" i="13"/>
  <c r="I45" i="13" s="1"/>
  <c r="F46" i="13"/>
  <c r="J46" i="14" s="1"/>
  <c r="F47" i="13"/>
  <c r="J47" i="14" s="1"/>
  <c r="F48" i="13"/>
  <c r="I48" i="14" s="1"/>
  <c r="F49" i="13"/>
  <c r="F50" i="13"/>
  <c r="F51" i="13"/>
  <c r="F52" i="13"/>
  <c r="F53" i="13"/>
  <c r="H53" i="13" s="1"/>
  <c r="F54" i="13"/>
  <c r="J54" i="14" s="1"/>
  <c r="F55" i="13"/>
  <c r="J55" i="14" s="1"/>
  <c r="F56" i="13"/>
  <c r="F57" i="13"/>
  <c r="I57" i="13" s="1"/>
  <c r="F58" i="13"/>
  <c r="F59" i="13"/>
  <c r="J57" i="14"/>
  <c r="I57" i="14"/>
  <c r="N54" i="14"/>
  <c r="J53" i="14"/>
  <c r="I53" i="14"/>
  <c r="M49" i="14"/>
  <c r="J49" i="14"/>
  <c r="I49" i="14"/>
  <c r="J48" i="14"/>
  <c r="N46" i="14"/>
  <c r="I46" i="14"/>
  <c r="J45" i="14"/>
  <c r="I45" i="14"/>
  <c r="N38" i="14"/>
  <c r="J38" i="14"/>
  <c r="I38" i="14"/>
  <c r="J35" i="14"/>
  <c r="I35" i="14"/>
  <c r="J33" i="14"/>
  <c r="N30" i="14"/>
  <c r="I30" i="14"/>
  <c r="J29" i="14"/>
  <c r="I29" i="14"/>
  <c r="M26" i="14"/>
  <c r="N26" i="14" s="1"/>
  <c r="I25" i="14"/>
  <c r="J25" i="14" s="1"/>
  <c r="M22" i="14"/>
  <c r="N22" i="14" s="1"/>
  <c r="H54" i="13"/>
  <c r="D66" i="13"/>
  <c r="K66" i="13"/>
  <c r="G61" i="13"/>
  <c r="D61" i="13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N28" i="4"/>
  <c r="N29" i="4"/>
  <c r="N30" i="4"/>
  <c r="N31" i="4"/>
  <c r="N32" i="4"/>
  <c r="N33" i="4"/>
  <c r="N34" i="4"/>
  <c r="N35" i="4"/>
  <c r="O35" i="6" s="1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H33" i="13" l="1"/>
  <c r="I41" i="13"/>
  <c r="I22" i="13"/>
  <c r="I33" i="13"/>
  <c r="P48" i="13"/>
  <c r="Q43" i="13"/>
  <c r="I30" i="13"/>
  <c r="Q51" i="13"/>
  <c r="H46" i="13"/>
  <c r="Q32" i="13"/>
  <c r="M46" i="13"/>
  <c r="I47" i="13"/>
  <c r="I39" i="13"/>
  <c r="M29" i="13"/>
  <c r="M45" i="13"/>
  <c r="P44" i="13"/>
  <c r="P55" i="13"/>
  <c r="P55" i="14"/>
  <c r="Q55" i="14" s="1"/>
  <c r="P51" i="13"/>
  <c r="P51" i="14"/>
  <c r="Q51" i="14" s="1"/>
  <c r="Q47" i="13"/>
  <c r="O47" i="14"/>
  <c r="Q35" i="13"/>
  <c r="P58" i="13"/>
  <c r="O58" i="14"/>
  <c r="R58" i="14" s="1"/>
  <c r="P54" i="13"/>
  <c r="O54" i="14"/>
  <c r="Q54" i="14" s="1"/>
  <c r="P50" i="13"/>
  <c r="O50" i="14"/>
  <c r="Q50" i="14" s="1"/>
  <c r="P46" i="13"/>
  <c r="O46" i="14"/>
  <c r="Q46" i="14" s="1"/>
  <c r="Q42" i="13"/>
  <c r="O42" i="14"/>
  <c r="R42" i="14" s="1"/>
  <c r="Q38" i="13"/>
  <c r="O38" i="14"/>
  <c r="R38" i="14" s="1"/>
  <c r="Q34" i="13"/>
  <c r="O34" i="14"/>
  <c r="Q34" i="14" s="1"/>
  <c r="Q30" i="13"/>
  <c r="O30" i="14"/>
  <c r="Q30" i="14" s="1"/>
  <c r="P26" i="13"/>
  <c r="Q26" i="13" s="1"/>
  <c r="O26" i="14"/>
  <c r="P43" i="13"/>
  <c r="P43" i="14"/>
  <c r="Q43" i="14" s="1"/>
  <c r="Q55" i="13"/>
  <c r="P59" i="13"/>
  <c r="P59" i="14"/>
  <c r="P47" i="13"/>
  <c r="P47" i="14"/>
  <c r="P27" i="13"/>
  <c r="P27" i="14"/>
  <c r="Q59" i="13"/>
  <c r="O59" i="14"/>
  <c r="R59" i="14" s="1"/>
  <c r="Q31" i="13"/>
  <c r="O31" i="14"/>
  <c r="Q31" i="14" s="1"/>
  <c r="Q39" i="13"/>
  <c r="Q57" i="13"/>
  <c r="O57" i="14"/>
  <c r="R57" i="14" s="1"/>
  <c r="Q53" i="13"/>
  <c r="O53" i="14"/>
  <c r="Q53" i="14" s="1"/>
  <c r="Q41" i="13"/>
  <c r="O41" i="14"/>
  <c r="R41" i="14" s="1"/>
  <c r="Q37" i="13"/>
  <c r="O37" i="14"/>
  <c r="R37" i="14" s="1"/>
  <c r="Q27" i="13"/>
  <c r="O27" i="14"/>
  <c r="M49" i="13"/>
  <c r="P38" i="13"/>
  <c r="Q56" i="13"/>
  <c r="O56" i="14"/>
  <c r="R56" i="14" s="1"/>
  <c r="Q52" i="13"/>
  <c r="O52" i="14"/>
  <c r="Q52" i="14" s="1"/>
  <c r="Q48" i="13"/>
  <c r="O48" i="14"/>
  <c r="R48" i="14" s="1"/>
  <c r="Q44" i="13"/>
  <c r="O44" i="14"/>
  <c r="R44" i="14" s="1"/>
  <c r="Q40" i="13"/>
  <c r="O40" i="14"/>
  <c r="Q40" i="14" s="1"/>
  <c r="Q36" i="13"/>
  <c r="O36" i="14"/>
  <c r="Q36" i="14" s="1"/>
  <c r="Q28" i="13"/>
  <c r="O28" i="14"/>
  <c r="O43" i="6"/>
  <c r="O57" i="6"/>
  <c r="O49" i="6"/>
  <c r="O41" i="6"/>
  <c r="O33" i="6"/>
  <c r="O56" i="6"/>
  <c r="R49" i="14"/>
  <c r="O48" i="6"/>
  <c r="O40" i="6"/>
  <c r="R33" i="14"/>
  <c r="O32" i="6"/>
  <c r="R43" i="14"/>
  <c r="O42" i="6"/>
  <c r="O55" i="6"/>
  <c r="O47" i="6"/>
  <c r="O39" i="6"/>
  <c r="R32" i="14"/>
  <c r="O31" i="6"/>
  <c r="R55" i="14"/>
  <c r="O54" i="6"/>
  <c r="R47" i="14"/>
  <c r="O46" i="6"/>
  <c r="R39" i="14"/>
  <c r="O38" i="6"/>
  <c r="O30" i="6"/>
  <c r="O51" i="6"/>
  <c r="R51" i="14"/>
  <c r="O50" i="6"/>
  <c r="O53" i="6"/>
  <c r="O45" i="6"/>
  <c r="O37" i="6"/>
  <c r="O29" i="6"/>
  <c r="R35" i="14"/>
  <c r="O34" i="6"/>
  <c r="O52" i="6"/>
  <c r="R45" i="14"/>
  <c r="O44" i="6"/>
  <c r="O36" i="6"/>
  <c r="R29" i="14"/>
  <c r="O28" i="6"/>
  <c r="O58" i="6"/>
  <c r="D69" i="13"/>
  <c r="H41" i="13"/>
  <c r="I53" i="13"/>
  <c r="I26" i="14"/>
  <c r="J26" i="14" s="1"/>
  <c r="H49" i="13"/>
  <c r="M24" i="14"/>
  <c r="N24" i="14" s="1"/>
  <c r="M29" i="14"/>
  <c r="I41" i="14"/>
  <c r="M45" i="14"/>
  <c r="H26" i="13"/>
  <c r="I26" i="13" s="1"/>
  <c r="P31" i="13"/>
  <c r="H45" i="13"/>
  <c r="I49" i="13"/>
  <c r="H57" i="13"/>
  <c r="I22" i="14"/>
  <c r="J22" i="14" s="1"/>
  <c r="I54" i="14"/>
  <c r="P22" i="13"/>
  <c r="H56" i="13"/>
  <c r="I40" i="13"/>
  <c r="L47" i="13"/>
  <c r="M54" i="13"/>
  <c r="I35" i="13"/>
  <c r="M53" i="13"/>
  <c r="L37" i="13"/>
  <c r="P40" i="13"/>
  <c r="P28" i="13"/>
  <c r="I48" i="13"/>
  <c r="I32" i="13"/>
  <c r="L39" i="13"/>
  <c r="I55" i="13"/>
  <c r="I31" i="13"/>
  <c r="I37" i="13"/>
  <c r="L52" i="13"/>
  <c r="L44" i="13"/>
  <c r="M36" i="13"/>
  <c r="L28" i="13"/>
  <c r="M55" i="13"/>
  <c r="L31" i="13"/>
  <c r="I52" i="13"/>
  <c r="I44" i="13"/>
  <c r="I36" i="13"/>
  <c r="I28" i="13"/>
  <c r="M59" i="13"/>
  <c r="L51" i="13"/>
  <c r="L43" i="13"/>
  <c r="M35" i="13"/>
  <c r="M27" i="13"/>
  <c r="H24" i="13"/>
  <c r="I24" i="13" s="1"/>
  <c r="I24" i="14"/>
  <c r="J24" i="14" s="1"/>
  <c r="M23" i="13"/>
  <c r="M23" i="14"/>
  <c r="N23" i="14" s="1"/>
  <c r="L22" i="13"/>
  <c r="M22" i="13" s="1"/>
  <c r="M38" i="13"/>
  <c r="I59" i="13"/>
  <c r="I51" i="13"/>
  <c r="I43" i="13"/>
  <c r="I27" i="13"/>
  <c r="M58" i="13"/>
  <c r="M50" i="13"/>
  <c r="M42" i="13"/>
  <c r="M34" i="13"/>
  <c r="M30" i="13"/>
  <c r="H61" i="14"/>
  <c r="I23" i="14"/>
  <c r="J23" i="14" s="1"/>
  <c r="I31" i="14"/>
  <c r="I39" i="14"/>
  <c r="I47" i="14"/>
  <c r="I55" i="14"/>
  <c r="H58" i="13"/>
  <c r="H50" i="13"/>
  <c r="I42" i="13"/>
  <c r="I34" i="13"/>
  <c r="M57" i="13"/>
  <c r="M41" i="13"/>
  <c r="M33" i="13"/>
  <c r="L56" i="13"/>
  <c r="L48" i="13"/>
  <c r="L40" i="13"/>
  <c r="M32" i="13"/>
  <c r="E61" i="14"/>
  <c r="H40" i="13"/>
  <c r="P49" i="13"/>
  <c r="P45" i="13"/>
  <c r="P33" i="13"/>
  <c r="P29" i="13"/>
  <c r="L55" i="13"/>
  <c r="P56" i="13"/>
  <c r="P36" i="13"/>
  <c r="M31" i="13"/>
  <c r="H32" i="13"/>
  <c r="I56" i="13"/>
  <c r="M39" i="13"/>
  <c r="M47" i="13"/>
  <c r="Q45" i="14"/>
  <c r="Q29" i="14"/>
  <c r="L35" i="13"/>
  <c r="M44" i="13"/>
  <c r="Q39" i="14"/>
  <c r="L59" i="13"/>
  <c r="P32" i="13"/>
  <c r="Q33" i="13"/>
  <c r="H37" i="13"/>
  <c r="H44" i="13"/>
  <c r="M51" i="13"/>
  <c r="Q49" i="14"/>
  <c r="Q35" i="14"/>
  <c r="Q33" i="14"/>
  <c r="Q32" i="14"/>
  <c r="P37" i="13"/>
  <c r="Q45" i="13"/>
  <c r="M48" i="13"/>
  <c r="P53" i="13"/>
  <c r="P52" i="13"/>
  <c r="Q29" i="13"/>
  <c r="P24" i="13"/>
  <c r="Q24" i="13" s="1"/>
  <c r="H28" i="13"/>
  <c r="L32" i="13"/>
  <c r="P41" i="13"/>
  <c r="Q49" i="13"/>
  <c r="P57" i="13"/>
  <c r="P39" i="13"/>
  <c r="P35" i="13"/>
  <c r="H36" i="13"/>
  <c r="J21" i="4"/>
  <c r="J75" i="4" s="1"/>
  <c r="M75" i="4" s="1"/>
  <c r="N10" i="13"/>
  <c r="O10" i="14" s="1"/>
  <c r="Q22" i="13"/>
  <c r="Q58" i="13"/>
  <c r="P42" i="13"/>
  <c r="Q50" i="13"/>
  <c r="Q54" i="13"/>
  <c r="P30" i="13"/>
  <c r="P34" i="13"/>
  <c r="Q46" i="13"/>
  <c r="L26" i="13"/>
  <c r="H23" i="13"/>
  <c r="I23" i="13" s="1"/>
  <c r="H48" i="13"/>
  <c r="H52" i="13"/>
  <c r="K69" i="13"/>
  <c r="H25" i="13"/>
  <c r="L27" i="13"/>
  <c r="M28" i="13"/>
  <c r="L23" i="13"/>
  <c r="L24" i="13"/>
  <c r="L25" i="13"/>
  <c r="M25" i="13" s="1"/>
  <c r="P25" i="13"/>
  <c r="I29" i="13"/>
  <c r="E66" i="14"/>
  <c r="L61" i="14"/>
  <c r="H66" i="14"/>
  <c r="L66" i="14"/>
  <c r="I25" i="13"/>
  <c r="M24" i="13"/>
  <c r="M26" i="13"/>
  <c r="Q25" i="13"/>
  <c r="L29" i="13"/>
  <c r="L33" i="13"/>
  <c r="L41" i="13"/>
  <c r="L45" i="13"/>
  <c r="L49" i="13"/>
  <c r="I50" i="13"/>
  <c r="L53" i="13"/>
  <c r="I54" i="13"/>
  <c r="L57" i="13"/>
  <c r="I58" i="13"/>
  <c r="K61" i="13"/>
  <c r="H27" i="13"/>
  <c r="H31" i="13"/>
  <c r="H35" i="13"/>
  <c r="M37" i="13"/>
  <c r="H39" i="13"/>
  <c r="H43" i="13"/>
  <c r="H47" i="13"/>
  <c r="H51" i="13"/>
  <c r="H55" i="13"/>
  <c r="H59" i="13"/>
  <c r="G66" i="13"/>
  <c r="H38" i="13"/>
  <c r="H42" i="13"/>
  <c r="I46" i="13"/>
  <c r="L30" i="13"/>
  <c r="L34" i="13"/>
  <c r="L38" i="13"/>
  <c r="L42" i="13"/>
  <c r="L46" i="13"/>
  <c r="L50" i="13"/>
  <c r="L54" i="13"/>
  <c r="L58" i="13"/>
  <c r="P23" i="13"/>
  <c r="Q23" i="13" s="1"/>
  <c r="H30" i="13"/>
  <c r="H34" i="13"/>
  <c r="O13" i="13"/>
  <c r="P13" i="14" s="1"/>
  <c r="N13" i="4"/>
  <c r="O13" i="6" s="1"/>
  <c r="D3" i="11"/>
  <c r="Q37" i="14" l="1"/>
  <c r="R30" i="14"/>
  <c r="R31" i="14"/>
  <c r="Q47" i="14"/>
  <c r="Q58" i="14"/>
  <c r="R50" i="14"/>
  <c r="Q56" i="14"/>
  <c r="R34" i="14"/>
  <c r="Q41" i="14"/>
  <c r="R40" i="14"/>
  <c r="Q57" i="14"/>
  <c r="Q48" i="14"/>
  <c r="Q42" i="14"/>
  <c r="Q44" i="14"/>
  <c r="R53" i="14"/>
  <c r="R54" i="14"/>
  <c r="Q38" i="14"/>
  <c r="Q59" i="14"/>
  <c r="R52" i="14"/>
  <c r="R36" i="14"/>
  <c r="R46" i="14"/>
  <c r="M32" i="14"/>
  <c r="N32" i="14"/>
  <c r="N50" i="14"/>
  <c r="M50" i="14"/>
  <c r="J51" i="14"/>
  <c r="I51" i="14"/>
  <c r="N52" i="14"/>
  <c r="M52" i="14"/>
  <c r="M39" i="14"/>
  <c r="N39" i="14"/>
  <c r="N37" i="14"/>
  <c r="M37" i="14"/>
  <c r="N47" i="14"/>
  <c r="M47" i="14"/>
  <c r="N57" i="14"/>
  <c r="M57" i="14"/>
  <c r="I58" i="14"/>
  <c r="J58" i="14"/>
  <c r="N35" i="14"/>
  <c r="M35" i="14"/>
  <c r="J28" i="14"/>
  <c r="I28" i="14"/>
  <c r="N44" i="14"/>
  <c r="M44" i="14"/>
  <c r="N55" i="14"/>
  <c r="M55" i="14"/>
  <c r="N40" i="14"/>
  <c r="M40" i="14"/>
  <c r="N58" i="14"/>
  <c r="M58" i="14"/>
  <c r="J59" i="14"/>
  <c r="I59" i="14"/>
  <c r="N28" i="14"/>
  <c r="M28" i="14"/>
  <c r="J37" i="14"/>
  <c r="I37" i="14"/>
  <c r="I32" i="14"/>
  <c r="J32" i="14"/>
  <c r="N53" i="14"/>
  <c r="M53" i="14"/>
  <c r="I40" i="14"/>
  <c r="J40" i="14"/>
  <c r="I34" i="14"/>
  <c r="J34" i="14"/>
  <c r="N43" i="14"/>
  <c r="M43" i="14"/>
  <c r="J36" i="14"/>
  <c r="I36" i="14"/>
  <c r="N16" i="4"/>
  <c r="O16" i="6" s="1"/>
  <c r="H69" i="14"/>
  <c r="M48" i="14"/>
  <c r="N48" i="14"/>
  <c r="N34" i="14"/>
  <c r="M34" i="14"/>
  <c r="J27" i="14"/>
  <c r="I27" i="14"/>
  <c r="N36" i="14"/>
  <c r="M36" i="14"/>
  <c r="I56" i="14"/>
  <c r="J56" i="14"/>
  <c r="M56" i="14"/>
  <c r="N56" i="14"/>
  <c r="N42" i="14"/>
  <c r="M42" i="14"/>
  <c r="J43" i="14"/>
  <c r="I43" i="14"/>
  <c r="N41" i="14"/>
  <c r="M41" i="14"/>
  <c r="I50" i="14"/>
  <c r="J50" i="14"/>
  <c r="N27" i="14"/>
  <c r="M27" i="14"/>
  <c r="N59" i="14"/>
  <c r="M59" i="14"/>
  <c r="J52" i="14"/>
  <c r="I52" i="14"/>
  <c r="N33" i="14"/>
  <c r="M33" i="14"/>
  <c r="I42" i="14"/>
  <c r="J42" i="14"/>
  <c r="N51" i="14"/>
  <c r="M51" i="14"/>
  <c r="J44" i="14"/>
  <c r="I44" i="14"/>
  <c r="M31" i="14"/>
  <c r="N31" i="14"/>
  <c r="E69" i="14"/>
  <c r="J14" i="13"/>
  <c r="J11" i="13"/>
  <c r="N24" i="4"/>
  <c r="O24" i="6" s="1"/>
  <c r="J14" i="4"/>
  <c r="J13" i="4"/>
  <c r="J16" i="4"/>
  <c r="N25" i="4"/>
  <c r="O25" i="6" s="1"/>
  <c r="N11" i="4"/>
  <c r="O11" i="6" s="1"/>
  <c r="J27" i="4"/>
  <c r="J17" i="4"/>
  <c r="J10" i="4"/>
  <c r="N15" i="13"/>
  <c r="O15" i="14" s="1"/>
  <c r="O26" i="4"/>
  <c r="O21" i="13"/>
  <c r="P21" i="14" s="1"/>
  <c r="O16" i="13"/>
  <c r="P16" i="14" s="1"/>
  <c r="J18" i="13"/>
  <c r="N19" i="13"/>
  <c r="J10" i="13"/>
  <c r="O20" i="13"/>
  <c r="P20" i="14" s="1"/>
  <c r="O10" i="13"/>
  <c r="P10" i="14" s="1"/>
  <c r="F14" i="13"/>
  <c r="F18" i="4"/>
  <c r="F15" i="13"/>
  <c r="F11" i="4"/>
  <c r="J12" i="13"/>
  <c r="N23" i="4"/>
  <c r="O23" i="6" s="1"/>
  <c r="J13" i="13"/>
  <c r="J23" i="4"/>
  <c r="F18" i="13"/>
  <c r="I18" i="14" s="1"/>
  <c r="J18" i="14" s="1"/>
  <c r="J24" i="4"/>
  <c r="N19" i="4"/>
  <c r="J17" i="13"/>
  <c r="M17" i="14" s="1"/>
  <c r="N17" i="14" s="1"/>
  <c r="O16" i="4"/>
  <c r="F17" i="4"/>
  <c r="J19" i="13"/>
  <c r="J68" i="13" s="1"/>
  <c r="M68" i="13" s="1"/>
  <c r="F10" i="4"/>
  <c r="F25" i="4"/>
  <c r="F19" i="4"/>
  <c r="J20" i="13"/>
  <c r="J15" i="4"/>
  <c r="J21" i="13"/>
  <c r="O12" i="4"/>
  <c r="F13" i="4"/>
  <c r="F14" i="4"/>
  <c r="J15" i="13"/>
  <c r="M15" i="14" s="1"/>
  <c r="N15" i="14" s="1"/>
  <c r="N26" i="4"/>
  <c r="O26" i="6" s="1"/>
  <c r="F13" i="13"/>
  <c r="I13" i="14" s="1"/>
  <c r="J13" i="14" s="1"/>
  <c r="O23" i="4"/>
  <c r="F24" i="4"/>
  <c r="O17" i="4"/>
  <c r="O18" i="4"/>
  <c r="F26" i="4"/>
  <c r="F16" i="13"/>
  <c r="I16" i="14" s="1"/>
  <c r="J16" i="14" s="1"/>
  <c r="F17" i="13"/>
  <c r="O20" i="4"/>
  <c r="F21" i="4"/>
  <c r="F75" i="4" s="1"/>
  <c r="I75" i="4" s="1"/>
  <c r="N12" i="13"/>
  <c r="O12" i="14" s="1"/>
  <c r="O13" i="4"/>
  <c r="F11" i="13"/>
  <c r="I11" i="14" s="1"/>
  <c r="J11" i="14" s="1"/>
  <c r="J18" i="4"/>
  <c r="F21" i="13"/>
  <c r="F23" i="4"/>
  <c r="N12" i="4"/>
  <c r="O12" i="6" s="1"/>
  <c r="J11" i="4"/>
  <c r="J19" i="4"/>
  <c r="O15" i="4"/>
  <c r="J26" i="4"/>
  <c r="N27" i="4"/>
  <c r="N20" i="4"/>
  <c r="O20" i="6" s="1"/>
  <c r="F16" i="4"/>
  <c r="O24" i="4"/>
  <c r="O25" i="4"/>
  <c r="F12" i="4"/>
  <c r="O11" i="13"/>
  <c r="P11" i="14" s="1"/>
  <c r="O27" i="4"/>
  <c r="N16" i="13"/>
  <c r="O16" i="14" s="1"/>
  <c r="O21" i="4"/>
  <c r="O75" i="4" s="1"/>
  <c r="F19" i="13"/>
  <c r="J25" i="4"/>
  <c r="F10" i="13"/>
  <c r="N21" i="4"/>
  <c r="N75" i="4" s="1"/>
  <c r="N14" i="13"/>
  <c r="N14" i="4"/>
  <c r="O14" i="13"/>
  <c r="N15" i="4"/>
  <c r="O15" i="6" s="1"/>
  <c r="O11" i="4"/>
  <c r="F20" i="4"/>
  <c r="O15" i="13"/>
  <c r="P15" i="14" s="1"/>
  <c r="O10" i="4"/>
  <c r="N20" i="13"/>
  <c r="O20" i="14" s="1"/>
  <c r="N10" i="4"/>
  <c r="O10" i="6" s="1"/>
  <c r="F15" i="4"/>
  <c r="J12" i="4"/>
  <c r="N21" i="13"/>
  <c r="O21" i="14" s="1"/>
  <c r="J16" i="13"/>
  <c r="N13" i="13"/>
  <c r="F12" i="13"/>
  <c r="N17" i="13"/>
  <c r="O17" i="14" s="1"/>
  <c r="F20" i="13"/>
  <c r="N18" i="13"/>
  <c r="O18" i="14" s="1"/>
  <c r="O22" i="6"/>
  <c r="O18" i="13"/>
  <c r="P18" i="14" s="1"/>
  <c r="N11" i="13"/>
  <c r="O11" i="14" s="1"/>
  <c r="O19" i="4"/>
  <c r="F27" i="4"/>
  <c r="O19" i="13"/>
  <c r="N17" i="4"/>
  <c r="O17" i="6" s="1"/>
  <c r="N18" i="4"/>
  <c r="O18" i="6" s="1"/>
  <c r="O12" i="13"/>
  <c r="P12" i="14" s="1"/>
  <c r="O14" i="4"/>
  <c r="O17" i="13"/>
  <c r="P17" i="14" s="1"/>
  <c r="J20" i="4"/>
  <c r="G69" i="13"/>
  <c r="L69" i="14"/>
  <c r="O68" i="13" l="1"/>
  <c r="J67" i="13"/>
  <c r="F72" i="4"/>
  <c r="O14" i="14"/>
  <c r="O67" i="14" s="1"/>
  <c r="N67" i="13"/>
  <c r="I19" i="14"/>
  <c r="F68" i="13"/>
  <c r="I68" i="13" s="1"/>
  <c r="O19" i="14"/>
  <c r="O68" i="14" s="1"/>
  <c r="N68" i="13"/>
  <c r="P14" i="14"/>
  <c r="P67" i="14" s="1"/>
  <c r="O67" i="13"/>
  <c r="F67" i="13"/>
  <c r="J19" i="14"/>
  <c r="P19" i="13"/>
  <c r="P19" i="14"/>
  <c r="Q13" i="13"/>
  <c r="O13" i="14"/>
  <c r="R28" i="14"/>
  <c r="O27" i="6"/>
  <c r="O19" i="6"/>
  <c r="O14" i="6"/>
  <c r="R21" i="14"/>
  <c r="O21" i="6"/>
  <c r="Q16" i="14"/>
  <c r="R16" i="14" s="1"/>
  <c r="Q22" i="14"/>
  <c r="R22" i="14" s="1"/>
  <c r="P17" i="13"/>
  <c r="Q17" i="13" s="1"/>
  <c r="L16" i="13"/>
  <c r="M16" i="13" s="1"/>
  <c r="M16" i="14"/>
  <c r="N16" i="14" s="1"/>
  <c r="I10" i="14"/>
  <c r="Q26" i="14"/>
  <c r="R26" i="14" s="1"/>
  <c r="L19" i="13"/>
  <c r="L13" i="13"/>
  <c r="M13" i="13" s="1"/>
  <c r="M13" i="14"/>
  <c r="N13" i="14" s="1"/>
  <c r="H14" i="13"/>
  <c r="I14" i="14"/>
  <c r="H12" i="13"/>
  <c r="I12" i="13" s="1"/>
  <c r="I12" i="14"/>
  <c r="J12" i="14" s="1"/>
  <c r="N21" i="14"/>
  <c r="M21" i="14"/>
  <c r="L12" i="13"/>
  <c r="M12" i="13" s="1"/>
  <c r="M12" i="14"/>
  <c r="N12" i="14" s="1"/>
  <c r="M10" i="14"/>
  <c r="N10" i="14" s="1"/>
  <c r="I20" i="14"/>
  <c r="J21" i="14"/>
  <c r="I21" i="14"/>
  <c r="H17" i="13"/>
  <c r="I17" i="13" s="1"/>
  <c r="I17" i="14"/>
  <c r="J17" i="14" s="1"/>
  <c r="M20" i="14"/>
  <c r="H15" i="13"/>
  <c r="I15" i="13" s="1"/>
  <c r="I15" i="14"/>
  <c r="J15" i="14" s="1"/>
  <c r="L11" i="13"/>
  <c r="M11" i="13" s="1"/>
  <c r="M11" i="14"/>
  <c r="N11" i="14" s="1"/>
  <c r="M18" i="14"/>
  <c r="N18" i="14" s="1"/>
  <c r="L14" i="13"/>
  <c r="M14" i="14"/>
  <c r="Q25" i="14"/>
  <c r="R25" i="14" s="1"/>
  <c r="Q21" i="14"/>
  <c r="Q27" i="14"/>
  <c r="R27" i="14" s="1"/>
  <c r="Q17" i="14"/>
  <c r="R17" i="14" s="1"/>
  <c r="N66" i="13"/>
  <c r="P12" i="13"/>
  <c r="Q12" i="13" s="1"/>
  <c r="P18" i="13"/>
  <c r="Q18" i="13" s="1"/>
  <c r="P15" i="13"/>
  <c r="Q15" i="13" s="1"/>
  <c r="Q18" i="14"/>
  <c r="R18" i="14" s="1"/>
  <c r="F66" i="13"/>
  <c r="F61" i="13"/>
  <c r="H10" i="13"/>
  <c r="L15" i="13"/>
  <c r="M15" i="13" s="1"/>
  <c r="H18" i="13"/>
  <c r="I18" i="13" s="1"/>
  <c r="P20" i="13"/>
  <c r="Q20" i="13" s="1"/>
  <c r="P11" i="4"/>
  <c r="Q11" i="4" s="1"/>
  <c r="Q11" i="14"/>
  <c r="R11" i="14" s="1"/>
  <c r="H19" i="13"/>
  <c r="Q23" i="14"/>
  <c r="R23" i="14" s="1"/>
  <c r="N61" i="13"/>
  <c r="Q12" i="14"/>
  <c r="R12" i="14" s="1"/>
  <c r="L18" i="13"/>
  <c r="M18" i="13" s="1"/>
  <c r="Q20" i="14"/>
  <c r="R20" i="14" s="1"/>
  <c r="M21" i="13"/>
  <c r="L21" i="13"/>
  <c r="P16" i="13"/>
  <c r="Q16" i="13" s="1"/>
  <c r="H20" i="13"/>
  <c r="I20" i="13" s="1"/>
  <c r="J61" i="13"/>
  <c r="J66" i="13"/>
  <c r="L10" i="13"/>
  <c r="P14" i="13"/>
  <c r="Q28" i="14"/>
  <c r="I21" i="13"/>
  <c r="H21" i="13"/>
  <c r="Q24" i="14"/>
  <c r="R24" i="14" s="1"/>
  <c r="L17" i="13"/>
  <c r="M17" i="13" s="1"/>
  <c r="O66" i="13"/>
  <c r="O61" i="13"/>
  <c r="P10" i="13"/>
  <c r="P10" i="4"/>
  <c r="P21" i="13"/>
  <c r="Q21" i="13" s="1"/>
  <c r="P11" i="13"/>
  <c r="Q11" i="13" s="1"/>
  <c r="Q15" i="14"/>
  <c r="R15" i="14" s="1"/>
  <c r="I13" i="13"/>
  <c r="H13" i="13"/>
  <c r="L20" i="13"/>
  <c r="P13" i="13"/>
  <c r="H11" i="13"/>
  <c r="I11" i="13" s="1"/>
  <c r="H16" i="13"/>
  <c r="I16" i="13" s="1"/>
  <c r="Q10" i="4" l="1"/>
  <c r="P68" i="13"/>
  <c r="I68" i="14"/>
  <c r="O61" i="14"/>
  <c r="Q68" i="13"/>
  <c r="Q19" i="13"/>
  <c r="Q14" i="13"/>
  <c r="P67" i="13"/>
  <c r="Q67" i="13" s="1"/>
  <c r="Q19" i="14"/>
  <c r="Q68" i="14" s="1"/>
  <c r="R68" i="14" s="1"/>
  <c r="P68" i="14"/>
  <c r="O66" i="14"/>
  <c r="O69" i="14" s="1"/>
  <c r="Q14" i="14"/>
  <c r="N14" i="14"/>
  <c r="M67" i="14"/>
  <c r="N67" i="14" s="1"/>
  <c r="J14" i="14"/>
  <c r="I67" i="14"/>
  <c r="J67" i="14" s="1"/>
  <c r="M19" i="13"/>
  <c r="L68" i="13"/>
  <c r="M14" i="13"/>
  <c r="L67" i="13"/>
  <c r="M67" i="13" s="1"/>
  <c r="I14" i="13"/>
  <c r="H67" i="13"/>
  <c r="I67" i="13" s="1"/>
  <c r="I19" i="13"/>
  <c r="H68" i="13"/>
  <c r="Q13" i="14"/>
  <c r="R13" i="14" s="1"/>
  <c r="N69" i="13"/>
  <c r="K66" i="14"/>
  <c r="K69" i="14" s="1"/>
  <c r="I66" i="14"/>
  <c r="I61" i="14"/>
  <c r="J10" i="14"/>
  <c r="K61" i="14"/>
  <c r="N20" i="14"/>
  <c r="N68" i="14"/>
  <c r="G66" i="14"/>
  <c r="G61" i="14"/>
  <c r="J20" i="14"/>
  <c r="J68" i="14"/>
  <c r="M19" i="14"/>
  <c r="J69" i="13"/>
  <c r="O69" i="13"/>
  <c r="H66" i="13"/>
  <c r="H61" i="13"/>
  <c r="I61" i="13" s="1"/>
  <c r="M20" i="13"/>
  <c r="Q10" i="13"/>
  <c r="P66" i="13"/>
  <c r="Q66" i="13" s="1"/>
  <c r="P61" i="13"/>
  <c r="Q61" i="13" s="1"/>
  <c r="I10" i="13"/>
  <c r="M10" i="13"/>
  <c r="L61" i="13"/>
  <c r="M61" i="13" s="1"/>
  <c r="L66" i="13"/>
  <c r="M66" i="13" s="1"/>
  <c r="F69" i="13"/>
  <c r="P61" i="14"/>
  <c r="P66" i="14"/>
  <c r="Q10" i="14"/>
  <c r="R19" i="14" l="1"/>
  <c r="P69" i="14"/>
  <c r="Q67" i="14"/>
  <c r="R67" i="14" s="1"/>
  <c r="R14" i="14"/>
  <c r="N19" i="14"/>
  <c r="M68" i="14"/>
  <c r="M66" i="14"/>
  <c r="M61" i="14"/>
  <c r="N61" i="14" s="1"/>
  <c r="J66" i="14"/>
  <c r="G69" i="14"/>
  <c r="J61" i="14"/>
  <c r="I69" i="14"/>
  <c r="P69" i="13"/>
  <c r="Q69" i="13" s="1"/>
  <c r="L69" i="13"/>
  <c r="M69" i="13" s="1"/>
  <c r="H69" i="13"/>
  <c r="I69" i="13" s="1"/>
  <c r="I66" i="13"/>
  <c r="Q66" i="14"/>
  <c r="R66" i="14" s="1"/>
  <c r="Q61" i="14"/>
  <c r="R61" i="14" s="1"/>
  <c r="R10" i="14"/>
  <c r="J69" i="14" l="1"/>
  <c r="M69" i="14"/>
  <c r="N69" i="14" s="1"/>
  <c r="N66" i="14"/>
  <c r="Q69" i="14"/>
  <c r="R69" i="14" s="1"/>
  <c r="P27" i="6"/>
  <c r="R28" i="6"/>
  <c r="P28" i="6"/>
  <c r="P29" i="6"/>
  <c r="R30" i="6"/>
  <c r="P30" i="6"/>
  <c r="R31" i="6"/>
  <c r="P31" i="6"/>
  <c r="R32" i="6"/>
  <c r="P32" i="6"/>
  <c r="R33" i="6"/>
  <c r="P33" i="6"/>
  <c r="R34" i="6"/>
  <c r="P34" i="6"/>
  <c r="R35" i="6"/>
  <c r="P35" i="6"/>
  <c r="R36" i="6"/>
  <c r="P36" i="6"/>
  <c r="R37" i="6"/>
  <c r="P37" i="6"/>
  <c r="P38" i="6"/>
  <c r="R39" i="6"/>
  <c r="P39" i="6"/>
  <c r="R40" i="6"/>
  <c r="P40" i="6"/>
  <c r="R41" i="6"/>
  <c r="P41" i="6"/>
  <c r="P42" i="6"/>
  <c r="R43" i="6"/>
  <c r="P43" i="6"/>
  <c r="P44" i="6"/>
  <c r="P45" i="6"/>
  <c r="P46" i="6"/>
  <c r="R47" i="6"/>
  <c r="P47" i="6"/>
  <c r="R48" i="6"/>
  <c r="P48" i="6"/>
  <c r="R49" i="6"/>
  <c r="P49" i="6"/>
  <c r="P50" i="6"/>
  <c r="R51" i="6"/>
  <c r="P51" i="6"/>
  <c r="P52" i="6"/>
  <c r="R53" i="6"/>
  <c r="P53" i="6"/>
  <c r="P54" i="6"/>
  <c r="R55" i="6"/>
  <c r="P55" i="6"/>
  <c r="R56" i="6"/>
  <c r="P56" i="6"/>
  <c r="R57" i="6"/>
  <c r="P57" i="6"/>
  <c r="P58" i="6"/>
  <c r="R27" i="6"/>
  <c r="M27" i="6"/>
  <c r="N27" i="6"/>
  <c r="I27" i="6"/>
  <c r="J27" i="6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/>
  <c r="H35" i="4"/>
  <c r="I35" i="4" s="1"/>
  <c r="H36" i="4"/>
  <c r="I36" i="4" s="1"/>
  <c r="H37" i="4"/>
  <c r="I37" i="4" s="1"/>
  <c r="H38" i="4"/>
  <c r="I38" i="4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A28" i="6"/>
  <c r="B28" i="6"/>
  <c r="D28" i="6"/>
  <c r="E28" i="6"/>
  <c r="F28" i="6"/>
  <c r="A29" i="6"/>
  <c r="B29" i="6"/>
  <c r="D29" i="6"/>
  <c r="E29" i="6"/>
  <c r="F29" i="6"/>
  <c r="A30" i="6"/>
  <c r="B30" i="6"/>
  <c r="D30" i="6"/>
  <c r="E30" i="6"/>
  <c r="F30" i="6"/>
  <c r="A31" i="6"/>
  <c r="B31" i="6"/>
  <c r="D31" i="6"/>
  <c r="E31" i="6"/>
  <c r="F31" i="6"/>
  <c r="A32" i="6"/>
  <c r="B32" i="6"/>
  <c r="D32" i="6"/>
  <c r="E32" i="6"/>
  <c r="F32" i="6"/>
  <c r="A33" i="6"/>
  <c r="B33" i="6"/>
  <c r="D33" i="6"/>
  <c r="E33" i="6"/>
  <c r="F33" i="6"/>
  <c r="A34" i="6"/>
  <c r="B34" i="6"/>
  <c r="D34" i="6"/>
  <c r="E34" i="6"/>
  <c r="F34" i="6"/>
  <c r="A35" i="6"/>
  <c r="B35" i="6"/>
  <c r="D35" i="6"/>
  <c r="E35" i="6"/>
  <c r="F35" i="6"/>
  <c r="A36" i="6"/>
  <c r="B36" i="6"/>
  <c r="D36" i="6"/>
  <c r="E36" i="6"/>
  <c r="F36" i="6"/>
  <c r="A37" i="6"/>
  <c r="B37" i="6"/>
  <c r="D37" i="6"/>
  <c r="E37" i="6"/>
  <c r="F37" i="6"/>
  <c r="A38" i="6"/>
  <c r="B38" i="6"/>
  <c r="D38" i="6"/>
  <c r="E38" i="6"/>
  <c r="F38" i="6"/>
  <c r="A39" i="6"/>
  <c r="B39" i="6"/>
  <c r="D39" i="6"/>
  <c r="E39" i="6"/>
  <c r="F39" i="6"/>
  <c r="A40" i="6"/>
  <c r="B40" i="6"/>
  <c r="D40" i="6"/>
  <c r="E40" i="6"/>
  <c r="F40" i="6"/>
  <c r="A41" i="6"/>
  <c r="B41" i="6"/>
  <c r="D41" i="6"/>
  <c r="E41" i="6"/>
  <c r="F41" i="6"/>
  <c r="A42" i="6"/>
  <c r="B42" i="6"/>
  <c r="D42" i="6"/>
  <c r="E42" i="6"/>
  <c r="F42" i="6"/>
  <c r="A43" i="6"/>
  <c r="B43" i="6"/>
  <c r="D43" i="6"/>
  <c r="E43" i="6"/>
  <c r="F43" i="6"/>
  <c r="A44" i="6"/>
  <c r="B44" i="6"/>
  <c r="D44" i="6"/>
  <c r="E44" i="6"/>
  <c r="F44" i="6"/>
  <c r="A45" i="6"/>
  <c r="B45" i="6"/>
  <c r="D45" i="6"/>
  <c r="E45" i="6"/>
  <c r="F45" i="6"/>
  <c r="A46" i="6"/>
  <c r="B46" i="6"/>
  <c r="D46" i="6"/>
  <c r="E46" i="6"/>
  <c r="F46" i="6"/>
  <c r="A47" i="6"/>
  <c r="B47" i="6"/>
  <c r="D47" i="6"/>
  <c r="E47" i="6"/>
  <c r="F47" i="6"/>
  <c r="A48" i="6"/>
  <c r="B48" i="6"/>
  <c r="D48" i="6"/>
  <c r="E48" i="6"/>
  <c r="F48" i="6"/>
  <c r="A49" i="6"/>
  <c r="B49" i="6"/>
  <c r="D49" i="6"/>
  <c r="E49" i="6"/>
  <c r="F49" i="6"/>
  <c r="A50" i="6"/>
  <c r="B50" i="6"/>
  <c r="D50" i="6"/>
  <c r="E50" i="6"/>
  <c r="F50" i="6"/>
  <c r="A51" i="6"/>
  <c r="B51" i="6"/>
  <c r="D51" i="6"/>
  <c r="E51" i="6"/>
  <c r="F51" i="6"/>
  <c r="A52" i="6"/>
  <c r="B52" i="6"/>
  <c r="D52" i="6"/>
  <c r="E52" i="6"/>
  <c r="F52" i="6"/>
  <c r="A53" i="6"/>
  <c r="B53" i="6"/>
  <c r="D53" i="6"/>
  <c r="E53" i="6"/>
  <c r="F53" i="6"/>
  <c r="A54" i="6"/>
  <c r="B54" i="6"/>
  <c r="D54" i="6"/>
  <c r="E54" i="6"/>
  <c r="F54" i="6"/>
  <c r="A55" i="6"/>
  <c r="B55" i="6"/>
  <c r="D55" i="6"/>
  <c r="E55" i="6"/>
  <c r="F55" i="6"/>
  <c r="A56" i="6"/>
  <c r="B56" i="6"/>
  <c r="D56" i="6"/>
  <c r="E56" i="6"/>
  <c r="F56" i="6"/>
  <c r="A57" i="6"/>
  <c r="B57" i="6"/>
  <c r="D57" i="6"/>
  <c r="E57" i="6"/>
  <c r="F57" i="6"/>
  <c r="A58" i="6"/>
  <c r="B58" i="6"/>
  <c r="D58" i="6"/>
  <c r="E58" i="6"/>
  <c r="F58" i="6"/>
  <c r="B10" i="6"/>
  <c r="D10" i="6"/>
  <c r="E10" i="6"/>
  <c r="F10" i="6"/>
  <c r="A10" i="6"/>
  <c r="O73" i="4"/>
  <c r="N73" i="4"/>
  <c r="O72" i="4"/>
  <c r="N72" i="4"/>
  <c r="K73" i="4"/>
  <c r="J73" i="4"/>
  <c r="K72" i="4"/>
  <c r="J72" i="4"/>
  <c r="G73" i="4"/>
  <c r="F73" i="4"/>
  <c r="F76" i="4" s="1"/>
  <c r="G72" i="4"/>
  <c r="D73" i="4"/>
  <c r="D72" i="4"/>
  <c r="D76" i="4" l="1"/>
  <c r="K76" i="4"/>
  <c r="G76" i="4"/>
  <c r="O76" i="4"/>
  <c r="G57" i="6"/>
  <c r="K57" i="6"/>
  <c r="G53" i="6"/>
  <c r="K53" i="6"/>
  <c r="G49" i="6"/>
  <c r="K49" i="6"/>
  <c r="G45" i="6"/>
  <c r="K45" i="6"/>
  <c r="G41" i="6"/>
  <c r="K41" i="6"/>
  <c r="G37" i="6"/>
  <c r="K37" i="6"/>
  <c r="G33" i="6"/>
  <c r="K33" i="6"/>
  <c r="G29" i="6"/>
  <c r="K29" i="6"/>
  <c r="G56" i="6"/>
  <c r="K56" i="6"/>
  <c r="G52" i="6"/>
  <c r="K52" i="6"/>
  <c r="G48" i="6"/>
  <c r="K48" i="6"/>
  <c r="G44" i="6"/>
  <c r="K44" i="6"/>
  <c r="G40" i="6"/>
  <c r="K40" i="6"/>
  <c r="G36" i="6"/>
  <c r="K36" i="6"/>
  <c r="G32" i="6"/>
  <c r="K32" i="6"/>
  <c r="G28" i="6"/>
  <c r="K28" i="6"/>
  <c r="J76" i="4"/>
  <c r="N76" i="4"/>
  <c r="K10" i="6"/>
  <c r="K72" i="6" s="1"/>
  <c r="G10" i="6"/>
  <c r="G72" i="6" s="1"/>
  <c r="H75" i="6"/>
  <c r="L75" i="6"/>
  <c r="G75" i="6"/>
  <c r="J75" i="6" s="1"/>
  <c r="K75" i="6"/>
  <c r="N75" i="6" s="1"/>
  <c r="E75" i="6"/>
  <c r="O75" i="6"/>
  <c r="K55" i="6"/>
  <c r="G55" i="6"/>
  <c r="K51" i="6"/>
  <c r="G51" i="6"/>
  <c r="K47" i="6"/>
  <c r="G47" i="6"/>
  <c r="K43" i="6"/>
  <c r="G43" i="6"/>
  <c r="K39" i="6"/>
  <c r="G39" i="6"/>
  <c r="K35" i="6"/>
  <c r="G35" i="6"/>
  <c r="K31" i="6"/>
  <c r="G31" i="6"/>
  <c r="K58" i="6"/>
  <c r="G58" i="6"/>
  <c r="K54" i="6"/>
  <c r="G54" i="6"/>
  <c r="K50" i="6"/>
  <c r="G50" i="6"/>
  <c r="K46" i="6"/>
  <c r="G46" i="6"/>
  <c r="K42" i="6"/>
  <c r="G42" i="6"/>
  <c r="K38" i="6"/>
  <c r="G38" i="6"/>
  <c r="K34" i="6"/>
  <c r="G34" i="6"/>
  <c r="K30" i="6"/>
  <c r="G30" i="6"/>
  <c r="Q53" i="6"/>
  <c r="Q49" i="6"/>
  <c r="Q39" i="6"/>
  <c r="Q37" i="6"/>
  <c r="Q33" i="6"/>
  <c r="Q51" i="6"/>
  <c r="Q47" i="6"/>
  <c r="Q35" i="6"/>
  <c r="Q27" i="6"/>
  <c r="Q56" i="6"/>
  <c r="Q48" i="6"/>
  <c r="Q28" i="6"/>
  <c r="E72" i="6"/>
  <c r="E73" i="6"/>
  <c r="K73" i="6"/>
  <c r="G73" i="6"/>
  <c r="Q40" i="6"/>
  <c r="Q52" i="6"/>
  <c r="Q44" i="6"/>
  <c r="Q36" i="6"/>
  <c r="Q55" i="6"/>
  <c r="Q32" i="6"/>
  <c r="R52" i="6"/>
  <c r="R44" i="6"/>
  <c r="Q57" i="6"/>
  <c r="Q45" i="6"/>
  <c r="Q41" i="6"/>
  <c r="Q29" i="6"/>
  <c r="Q43" i="6"/>
  <c r="Q31" i="6"/>
  <c r="Q58" i="6"/>
  <c r="Q54" i="6"/>
  <c r="Q50" i="6"/>
  <c r="Q46" i="6"/>
  <c r="Q42" i="6"/>
  <c r="Q38" i="6"/>
  <c r="Q34" i="6"/>
  <c r="Q30" i="6"/>
  <c r="R45" i="6"/>
  <c r="R29" i="6"/>
  <c r="R58" i="6"/>
  <c r="R54" i="6"/>
  <c r="R50" i="6"/>
  <c r="R46" i="6"/>
  <c r="R42" i="6"/>
  <c r="R38" i="6"/>
  <c r="E76" i="6" l="1"/>
  <c r="G76" i="6"/>
  <c r="K76" i="6"/>
  <c r="I44" i="6"/>
  <c r="J44" i="6"/>
  <c r="I35" i="6"/>
  <c r="J35" i="6"/>
  <c r="M37" i="6"/>
  <c r="N37" i="6"/>
  <c r="M42" i="6"/>
  <c r="N42" i="6"/>
  <c r="I39" i="6"/>
  <c r="J39" i="6"/>
  <c r="M52" i="6"/>
  <c r="N52" i="6"/>
  <c r="M33" i="6"/>
  <c r="N33" i="6"/>
  <c r="I30" i="6"/>
  <c r="J30" i="6"/>
  <c r="M43" i="6"/>
  <c r="N43" i="6"/>
  <c r="I48" i="6"/>
  <c r="J48" i="6"/>
  <c r="I45" i="6"/>
  <c r="J45" i="6"/>
  <c r="I57" i="6"/>
  <c r="J57" i="6"/>
  <c r="I40" i="6"/>
  <c r="J40" i="6"/>
  <c r="I42" i="6"/>
  <c r="J42" i="6"/>
  <c r="M39" i="6"/>
  <c r="N39" i="6"/>
  <c r="I52" i="6"/>
  <c r="J52" i="6"/>
  <c r="I33" i="6"/>
  <c r="J33" i="6"/>
  <c r="M30" i="6"/>
  <c r="N30" i="6"/>
  <c r="I43" i="6"/>
  <c r="J43" i="6"/>
  <c r="M48" i="6"/>
  <c r="N48" i="6"/>
  <c r="M45" i="6"/>
  <c r="N45" i="6"/>
  <c r="M34" i="6"/>
  <c r="N34" i="6"/>
  <c r="I31" i="6"/>
  <c r="J31" i="6"/>
  <c r="M44" i="6"/>
  <c r="N44" i="6"/>
  <c r="M57" i="6"/>
  <c r="N57" i="6"/>
  <c r="M35" i="6"/>
  <c r="N35" i="6"/>
  <c r="M40" i="6"/>
  <c r="N40" i="6"/>
  <c r="I37" i="6"/>
  <c r="J37" i="6"/>
  <c r="I34" i="6"/>
  <c r="J34" i="6"/>
  <c r="M31" i="6"/>
  <c r="N31" i="6"/>
  <c r="M50" i="6"/>
  <c r="N50" i="6"/>
  <c r="I47" i="6"/>
  <c r="J47" i="6"/>
  <c r="M28" i="6"/>
  <c r="N28" i="6"/>
  <c r="I38" i="6"/>
  <c r="J38" i="6"/>
  <c r="I50" i="6"/>
  <c r="J50" i="6"/>
  <c r="I56" i="6"/>
  <c r="J56" i="6"/>
  <c r="M53" i="6"/>
  <c r="N53" i="6"/>
  <c r="M41" i="6"/>
  <c r="N41" i="6"/>
  <c r="M51" i="6"/>
  <c r="N51" i="6"/>
  <c r="M56" i="6"/>
  <c r="N56" i="6"/>
  <c r="M47" i="6"/>
  <c r="N47" i="6"/>
  <c r="I28" i="6"/>
  <c r="J28" i="6"/>
  <c r="I41" i="6"/>
  <c r="J41" i="6"/>
  <c r="I51" i="6"/>
  <c r="J51" i="6"/>
  <c r="M58" i="6"/>
  <c r="N58" i="6"/>
  <c r="I55" i="6"/>
  <c r="J55" i="6"/>
  <c r="M36" i="6"/>
  <c r="N36" i="6"/>
  <c r="M49" i="6"/>
  <c r="N49" i="6"/>
  <c r="I46" i="6"/>
  <c r="J46" i="6"/>
  <c r="I32" i="6"/>
  <c r="J32" i="6"/>
  <c r="M29" i="6"/>
  <c r="N29" i="6"/>
  <c r="I54" i="6"/>
  <c r="J54" i="6"/>
  <c r="I53" i="6"/>
  <c r="J53" i="6"/>
  <c r="M38" i="6"/>
  <c r="N38" i="6"/>
  <c r="I58" i="6"/>
  <c r="J58" i="6"/>
  <c r="M55" i="6"/>
  <c r="N55" i="6"/>
  <c r="I36" i="6"/>
  <c r="J36" i="6"/>
  <c r="I49" i="6"/>
  <c r="J49" i="6"/>
  <c r="M46" i="6"/>
  <c r="N46" i="6"/>
  <c r="M32" i="6"/>
  <c r="N32" i="6"/>
  <c r="I29" i="6"/>
  <c r="J29" i="6"/>
  <c r="M54" i="6"/>
  <c r="N54" i="6"/>
  <c r="N60" i="4"/>
  <c r="O60" i="4"/>
  <c r="J60" i="4"/>
  <c r="F60" i="4"/>
  <c r="D3" i="6" l="1"/>
  <c r="Q27" i="4"/>
  <c r="M27" i="4"/>
  <c r="I27" i="4"/>
  <c r="P26" i="6"/>
  <c r="L26" i="4"/>
  <c r="I26" i="4"/>
  <c r="P25" i="6"/>
  <c r="P24" i="6"/>
  <c r="P23" i="6"/>
  <c r="P22" i="6"/>
  <c r="P21" i="6"/>
  <c r="P75" i="6" s="1"/>
  <c r="M21" i="4"/>
  <c r="P20" i="6"/>
  <c r="L19" i="4"/>
  <c r="M19" i="4" s="1"/>
  <c r="H19" i="4"/>
  <c r="I19" i="4" s="1"/>
  <c r="P18" i="6"/>
  <c r="P17" i="6"/>
  <c r="P16" i="6"/>
  <c r="P15" i="6"/>
  <c r="P13" i="6"/>
  <c r="P12" i="6"/>
  <c r="P11" i="6"/>
  <c r="Q11" i="6" l="1"/>
  <c r="R11" i="6" s="1"/>
  <c r="P13" i="4"/>
  <c r="Q13" i="4" s="1"/>
  <c r="H18" i="4"/>
  <c r="I18" i="4" s="1"/>
  <c r="Q18" i="6"/>
  <c r="R18" i="6" s="1"/>
  <c r="I21" i="4"/>
  <c r="M26" i="4"/>
  <c r="P23" i="4"/>
  <c r="Q23" i="4" s="1"/>
  <c r="P25" i="4"/>
  <c r="Q25" i="4" s="1"/>
  <c r="Q12" i="6"/>
  <c r="L18" i="4"/>
  <c r="M18" i="4" s="1"/>
  <c r="Q13" i="6"/>
  <c r="R13" i="6" s="1"/>
  <c r="Q16" i="6"/>
  <c r="R16" i="6" s="1"/>
  <c r="Q24" i="6"/>
  <c r="R24" i="6" s="1"/>
  <c r="Q25" i="6"/>
  <c r="R25" i="6" s="1"/>
  <c r="P26" i="4"/>
  <c r="Q26" i="4" s="1"/>
  <c r="Q23" i="6"/>
  <c r="R23" i="6" s="1"/>
  <c r="O73" i="6"/>
  <c r="Q26" i="6"/>
  <c r="R26" i="6" s="1"/>
  <c r="P12" i="4"/>
  <c r="P14" i="6"/>
  <c r="Q14" i="6" s="1"/>
  <c r="R14" i="6" s="1"/>
  <c r="P14" i="4"/>
  <c r="Q14" i="4" s="1"/>
  <c r="P19" i="6"/>
  <c r="Q19" i="6" s="1"/>
  <c r="R19" i="6" s="1"/>
  <c r="P19" i="4"/>
  <c r="Q19" i="4" s="1"/>
  <c r="P24" i="4"/>
  <c r="Q24" i="4" s="1"/>
  <c r="P27" i="4"/>
  <c r="P15" i="4"/>
  <c r="Q15" i="4" s="1"/>
  <c r="P17" i="4"/>
  <c r="Q17" i="4" s="1"/>
  <c r="P20" i="4"/>
  <c r="H26" i="4"/>
  <c r="L27" i="4"/>
  <c r="P10" i="6"/>
  <c r="P16" i="4"/>
  <c r="Q16" i="4" s="1"/>
  <c r="P18" i="4"/>
  <c r="Q18" i="4" s="1"/>
  <c r="P21" i="4"/>
  <c r="H27" i="4"/>
  <c r="P60" i="4" l="1"/>
  <c r="P73" i="4"/>
  <c r="Q73" i="4" s="1"/>
  <c r="P75" i="4"/>
  <c r="Q75" i="4" s="1"/>
  <c r="Q21" i="4"/>
  <c r="P72" i="6"/>
  <c r="P73" i="6"/>
  <c r="Q10" i="6"/>
  <c r="R10" i="6" s="1"/>
  <c r="O72" i="6"/>
  <c r="Q12" i="4"/>
  <c r="P72" i="4"/>
  <c r="R12" i="6"/>
  <c r="Q60" i="4"/>
  <c r="Q21" i="6"/>
  <c r="Q20" i="6"/>
  <c r="P60" i="6"/>
  <c r="Q17" i="6"/>
  <c r="R17" i="6" s="1"/>
  <c r="Q22" i="6"/>
  <c r="R22" i="6" s="1"/>
  <c r="Q20" i="4"/>
  <c r="Q15" i="6"/>
  <c r="R15" i="6" s="1"/>
  <c r="O60" i="6"/>
  <c r="P76" i="6" l="1"/>
  <c r="Q75" i="6"/>
  <c r="R75" i="6" s="1"/>
  <c r="R21" i="6"/>
  <c r="P76" i="4"/>
  <c r="Q76" i="4" s="1"/>
  <c r="Q72" i="4"/>
  <c r="O76" i="6"/>
  <c r="Q73" i="6"/>
  <c r="R73" i="6" s="1"/>
  <c r="Q72" i="6"/>
  <c r="R72" i="6" s="1"/>
  <c r="N26" i="6"/>
  <c r="J21" i="6"/>
  <c r="M18" i="6"/>
  <c r="N18" i="6" s="1"/>
  <c r="I26" i="6"/>
  <c r="J26" i="6"/>
  <c r="I19" i="6"/>
  <c r="J19" i="6" s="1"/>
  <c r="Q60" i="6"/>
  <c r="R60" i="6" s="1"/>
  <c r="R20" i="6"/>
  <c r="Q76" i="6" l="1"/>
  <c r="R76" i="6" s="1"/>
  <c r="M26" i="6"/>
  <c r="N21" i="6"/>
  <c r="M19" i="6"/>
  <c r="N19" i="6" s="1"/>
  <c r="I18" i="6"/>
  <c r="J18" i="6" s="1"/>
  <c r="K60" i="6"/>
  <c r="G60" i="6"/>
  <c r="M21" i="6" l="1"/>
  <c r="I21" i="6" l="1"/>
  <c r="I14" i="6" l="1"/>
  <c r="J14" i="6" s="1"/>
  <c r="M14" i="6" l="1"/>
  <c r="N14" i="6" s="1"/>
  <c r="M17" i="6" l="1"/>
  <c r="N17" i="6" s="1"/>
  <c r="I17" i="6"/>
  <c r="J17" i="6" s="1"/>
  <c r="I15" i="6" l="1"/>
  <c r="J15" i="6" s="1"/>
  <c r="I25" i="6"/>
  <c r="J25" i="6" s="1"/>
  <c r="M25" i="6"/>
  <c r="N25" i="6" s="1"/>
  <c r="M12" i="6"/>
  <c r="N12" i="6" s="1"/>
  <c r="I12" i="6"/>
  <c r="J12" i="6" s="1"/>
  <c r="M15" i="6"/>
  <c r="N15" i="6" s="1"/>
  <c r="I16" i="6" l="1"/>
  <c r="J16" i="6" s="1"/>
  <c r="M16" i="6"/>
  <c r="N16" i="6" s="1"/>
  <c r="M23" i="6" l="1"/>
  <c r="N23" i="6" s="1"/>
  <c r="I23" i="6"/>
  <c r="J23" i="6" s="1"/>
  <c r="I10" i="6" l="1"/>
  <c r="I20" i="6"/>
  <c r="I11" i="6"/>
  <c r="J11" i="6" s="1"/>
  <c r="I22" i="6"/>
  <c r="M20" i="6"/>
  <c r="J22" i="6" l="1"/>
  <c r="I75" i="6"/>
  <c r="J20" i="6"/>
  <c r="N20" i="6"/>
  <c r="M10" i="6"/>
  <c r="J10" i="6"/>
  <c r="M22" i="6"/>
  <c r="M11" i="6"/>
  <c r="N11" i="6" s="1"/>
  <c r="N22" i="6" l="1"/>
  <c r="M75" i="6"/>
  <c r="N10" i="6"/>
  <c r="H21" i="4" l="1"/>
  <c r="H75" i="4" s="1"/>
  <c r="L21" i="4"/>
  <c r="L75" i="4" s="1"/>
  <c r="H14" i="4" l="1"/>
  <c r="I14" i="4" s="1"/>
  <c r="L14" i="4"/>
  <c r="M14" i="4" s="1"/>
  <c r="L24" i="4" l="1"/>
  <c r="L73" i="6"/>
  <c r="H73" i="6" l="1"/>
  <c r="H24" i="4"/>
  <c r="M24" i="6"/>
  <c r="M73" i="6" s="1"/>
  <c r="M24" i="4"/>
  <c r="H13" i="4" l="1"/>
  <c r="H72" i="6"/>
  <c r="H76" i="6" s="1"/>
  <c r="N24" i="6"/>
  <c r="N73" i="6"/>
  <c r="I24" i="4"/>
  <c r="L72" i="6"/>
  <c r="L76" i="6" s="1"/>
  <c r="L13" i="4"/>
  <c r="I24" i="6"/>
  <c r="I73" i="6" s="1"/>
  <c r="I13" i="6" l="1"/>
  <c r="I72" i="6" s="1"/>
  <c r="I76" i="6" s="1"/>
  <c r="H60" i="6"/>
  <c r="M13" i="4"/>
  <c r="J24" i="6"/>
  <c r="J73" i="6"/>
  <c r="M13" i="6"/>
  <c r="M72" i="6" s="1"/>
  <c r="M76" i="6" s="1"/>
  <c r="L60" i="6"/>
  <c r="I13" i="4"/>
  <c r="J13" i="6" l="1"/>
  <c r="I60" i="6"/>
  <c r="J60" i="6" s="1"/>
  <c r="N13" i="6"/>
  <c r="M60" i="6"/>
  <c r="N60" i="6" s="1"/>
  <c r="N72" i="6" l="1"/>
  <c r="N76" i="6"/>
  <c r="J72" i="6"/>
  <c r="J76" i="6"/>
  <c r="H17" i="4" l="1"/>
  <c r="I17" i="4" s="1"/>
  <c r="L17" i="4"/>
  <c r="M17" i="4" s="1"/>
  <c r="H25" i="4" l="1"/>
  <c r="I25" i="4" s="1"/>
  <c r="H12" i="4"/>
  <c r="I12" i="4" s="1"/>
  <c r="L12" i="4"/>
  <c r="M12" i="4" s="1"/>
  <c r="L15" i="4" l="1"/>
  <c r="M15" i="4" s="1"/>
  <c r="H15" i="4"/>
  <c r="I15" i="4" s="1"/>
  <c r="L25" i="4"/>
  <c r="M25" i="4" s="1"/>
  <c r="L16" i="4" l="1"/>
  <c r="M16" i="4" s="1"/>
  <c r="H16" i="4" l="1"/>
  <c r="I16" i="4" s="1"/>
  <c r="H23" i="4" l="1"/>
  <c r="I23" i="4" s="1"/>
  <c r="L23" i="4"/>
  <c r="M23" i="4" s="1"/>
  <c r="G60" i="4" l="1"/>
  <c r="H11" i="4"/>
  <c r="I11" i="4" s="1"/>
  <c r="L10" i="4"/>
  <c r="H20" i="4"/>
  <c r="H73" i="4" s="1"/>
  <c r="H10" i="4"/>
  <c r="H72" i="4" s="1"/>
  <c r="D60" i="4"/>
  <c r="L20" i="4"/>
  <c r="K60" i="4"/>
  <c r="H76" i="4" l="1"/>
  <c r="H60" i="4"/>
  <c r="I60" i="4" s="1"/>
  <c r="E60" i="6"/>
  <c r="L11" i="4"/>
  <c r="M11" i="4" s="1"/>
  <c r="M20" i="4"/>
  <c r="I10" i="4"/>
  <c r="I20" i="4"/>
  <c r="I73" i="4"/>
  <c r="M10" i="4"/>
  <c r="L73" i="4" l="1"/>
  <c r="M73" i="4" s="1"/>
  <c r="L72" i="4"/>
  <c r="L60" i="4"/>
  <c r="M60" i="4" s="1"/>
  <c r="I76" i="4"/>
  <c r="I72" i="4"/>
  <c r="M72" i="4" l="1"/>
  <c r="L76" i="4"/>
  <c r="M76" i="4" s="1"/>
</calcChain>
</file>

<file path=xl/sharedStrings.xml><?xml version="1.0" encoding="utf-8"?>
<sst xmlns="http://schemas.openxmlformats.org/spreadsheetml/2006/main" count="742" uniqueCount="113">
  <si>
    <t>kW</t>
  </si>
  <si>
    <t>kWh</t>
  </si>
  <si>
    <t>Budget</t>
  </si>
  <si>
    <t>Actual</t>
  </si>
  <si>
    <t>Variance</t>
  </si>
  <si>
    <t>Meter Level</t>
  </si>
  <si>
    <t>Percentage</t>
  </si>
  <si>
    <t>Difference</t>
  </si>
  <si>
    <t>Expenses</t>
  </si>
  <si>
    <t>Total</t>
  </si>
  <si>
    <t>Units</t>
  </si>
  <si>
    <t>Program Name</t>
  </si>
  <si>
    <t>Customer Class</t>
  </si>
  <si>
    <t>Residential</t>
  </si>
  <si>
    <t>Nonresidential</t>
  </si>
  <si>
    <t>MidAmerican Energy Company</t>
  </si>
  <si>
    <t>Participation, Actual &amp; Planned Energy Savings, Capacity Savings, and Expenditures - Electric Programs</t>
  </si>
  <si>
    <t>Participation, Actual &amp; Planned Energy Savings, Capacity Savings, and Expenditures - Gas Programs</t>
  </si>
  <si>
    <t>Behavioral</t>
  </si>
  <si>
    <t>HVAC Tune-Up</t>
  </si>
  <si>
    <t>Upstream Retail Lighting</t>
  </si>
  <si>
    <t>CES (Commercial Energy Solutions)</t>
  </si>
  <si>
    <t>Industrial Partners</t>
  </si>
  <si>
    <t>P</t>
  </si>
  <si>
    <t>Net Savings</t>
  </si>
  <si>
    <t>Gross Savings</t>
  </si>
  <si>
    <t>Project Number</t>
  </si>
  <si>
    <t>Res/NonRes</t>
  </si>
  <si>
    <t>Illinois Energy Efficiency</t>
  </si>
  <si>
    <t>Electric Report</t>
  </si>
  <si>
    <t>Plan or Revisions Number:</t>
  </si>
  <si>
    <t>Costs greater than 90% to budget</t>
  </si>
  <si>
    <t>Impacts better than 90% to plan</t>
  </si>
  <si>
    <t>FIXED COSTS</t>
  </si>
  <si>
    <t>INCENTIVE COSTS</t>
  </si>
  <si>
    <t>TOTAL COSTS</t>
  </si>
  <si>
    <t>kWh SAVINGS</t>
  </si>
  <si>
    <t>PEAK kW SAVINGS</t>
  </si>
  <si>
    <t>% of Year</t>
  </si>
  <si>
    <t>Year-end Budget</t>
  </si>
  <si>
    <t>% to Budget</t>
  </si>
  <si>
    <t>Equipment</t>
  </si>
  <si>
    <t>Appliance Recycling</t>
  </si>
  <si>
    <t>Low Income</t>
  </si>
  <si>
    <t>Education</t>
  </si>
  <si>
    <t>Total Residential</t>
  </si>
  <si>
    <t>Non-Residential</t>
  </si>
  <si>
    <t>New Construction</t>
  </si>
  <si>
    <t>Total Non-Residential</t>
  </si>
  <si>
    <t>Total Electric Plan</t>
  </si>
  <si>
    <t>DISCONTINUED PROGRAMS IN 2014-2018 PLAN</t>
  </si>
  <si>
    <t>Custom</t>
  </si>
  <si>
    <t>* Includes accounts 17821 and temporary account 17823.</t>
  </si>
  <si>
    <t xml:space="preserve">Industrial Partners Total: </t>
  </si>
  <si>
    <t>Gas Report</t>
  </si>
  <si>
    <t>THERM SAVINGS</t>
  </si>
  <si>
    <t>PEAK THERM SAVINGS</t>
  </si>
  <si>
    <t>Total Gas Plan</t>
  </si>
  <si>
    <t>* Includes accounts 98648 and temporary account 98650.</t>
  </si>
  <si>
    <t>Weighted Average NTG by Gross kWh</t>
  </si>
  <si>
    <t>Therms</t>
  </si>
  <si>
    <t>Annual</t>
  </si>
  <si>
    <t>Peak</t>
  </si>
  <si>
    <t>Electric</t>
  </si>
  <si>
    <t>Residential Equipment</t>
  </si>
  <si>
    <t>Residential Appliance Recycling</t>
  </si>
  <si>
    <t>Residential Behavioral</t>
  </si>
  <si>
    <t>Nonresidential Equipment</t>
  </si>
  <si>
    <t>Commercial New Construction</t>
  </si>
  <si>
    <t>Residential Low Income</t>
  </si>
  <si>
    <t>Nonresidential Load Management</t>
  </si>
  <si>
    <t>Gas</t>
  </si>
  <si>
    <t>Other</t>
  </si>
  <si>
    <t>Electric Energy Efficiency Programs</t>
  </si>
  <si>
    <t>Incremental</t>
  </si>
  <si>
    <t>Residential Programs</t>
  </si>
  <si>
    <t>Nonresidential Programs</t>
  </si>
  <si>
    <t>Nonresidential Energy Solutions</t>
  </si>
  <si>
    <t>Total Electric Energy Efficiency Programs</t>
  </si>
  <si>
    <t>Electric Demand Response Programs</t>
  </si>
  <si>
    <t>Total Electric Demand Response Programs</t>
  </si>
  <si>
    <t>Total - All Programs</t>
  </si>
  <si>
    <t xml:space="preserve">Net Energy Savings (kWh/therm) </t>
  </si>
  <si>
    <t>Net Peak Savings (kW/pk therm)</t>
  </si>
  <si>
    <t>2020 YTD through December</t>
  </si>
  <si>
    <t>Residential Assessment</t>
  </si>
  <si>
    <t>Income Qualified Multifamily Housing</t>
  </si>
  <si>
    <t>Residential Load Management</t>
  </si>
  <si>
    <t>2021 Iowa Energy Efficiency</t>
  </si>
  <si>
    <t>Residential Education</t>
  </si>
  <si>
    <t>Nonresidential Education</t>
  </si>
  <si>
    <t>Trees</t>
  </si>
  <si>
    <t/>
  </si>
  <si>
    <t>Res</t>
  </si>
  <si>
    <t>NonRes</t>
  </si>
  <si>
    <t>Multifamily</t>
  </si>
  <si>
    <t>Agriculture</t>
  </si>
  <si>
    <t>Income Qualified Multifamily</t>
  </si>
  <si>
    <t>Assessments</t>
  </si>
  <si>
    <t>Total Other</t>
  </si>
  <si>
    <t>Iowa Energy Efficiency</t>
  </si>
  <si>
    <t>Third Party</t>
  </si>
  <si>
    <t>Efficiency Bid</t>
  </si>
  <si>
    <t>IA quarterly rpt ck</t>
  </si>
  <si>
    <t>Demand Response Programs</t>
  </si>
  <si>
    <t>Total Demand Response</t>
  </si>
  <si>
    <t>Demand Response</t>
  </si>
  <si>
    <t>Critical Peak Pricing</t>
  </si>
  <si>
    <t>Energy Efficiency Programs</t>
  </si>
  <si>
    <t>Demand Response Total</t>
  </si>
  <si>
    <t>Energy Efficiency Total</t>
  </si>
  <si>
    <t>DR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</si>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</sst>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990033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rgb="FF0000FF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3">
    <xf numFmtId="0" fontId="0" fillId="0" borderId="0" xfId="0"/>
    <xf numFmtId="0" fontId="9" fillId="0" borderId="0" xfId="0" applyFont="1"/>
    <xf numFmtId="0" fontId="10" fillId="0" borderId="0" xfId="0" applyFont="1"/>
    <xf numFmtId="164" fontId="10" fillId="0" borderId="0" xfId="1" applyNumberFormat="1" applyFont="1" applyFill="1"/>
    <xf numFmtId="0" fontId="10" fillId="0" borderId="0" xfId="0" applyFont="1" applyFill="1"/>
    <xf numFmtId="164" fontId="10" fillId="0" borderId="0" xfId="1" applyNumberFormat="1" applyFont="1"/>
    <xf numFmtId="164" fontId="9" fillId="0" borderId="0" xfId="0" applyNumberFormat="1" applyFont="1"/>
    <xf numFmtId="4" fontId="9" fillId="0" borderId="0" xfId="0" applyNumberFormat="1" applyFont="1"/>
    <xf numFmtId="43" fontId="9" fillId="0" borderId="0" xfId="0" applyNumberFormat="1" applyFont="1"/>
    <xf numFmtId="0" fontId="9" fillId="0" borderId="7" xfId="0" applyFont="1" applyFill="1" applyBorder="1"/>
    <xf numFmtId="164" fontId="10" fillId="0" borderId="0" xfId="0" applyNumberFormat="1" applyFont="1"/>
    <xf numFmtId="164" fontId="10" fillId="0" borderId="0" xfId="0" applyNumberFormat="1" applyFont="1" applyFill="1"/>
    <xf numFmtId="166" fontId="10" fillId="0" borderId="0" xfId="1" applyNumberFormat="1" applyFont="1" applyFill="1"/>
    <xf numFmtId="0" fontId="5" fillId="0" borderId="0" xfId="6"/>
    <xf numFmtId="0" fontId="24" fillId="0" borderId="0" xfId="9" applyFont="1"/>
    <xf numFmtId="0" fontId="13" fillId="0" borderId="0" xfId="6" applyFont="1"/>
    <xf numFmtId="0" fontId="25" fillId="0" borderId="0" xfId="9" applyFont="1" applyAlignment="1">
      <alignment horizontal="right"/>
    </xf>
    <xf numFmtId="0" fontId="25" fillId="0" borderId="1" xfId="9" applyFont="1" applyBorder="1"/>
    <xf numFmtId="0" fontId="25" fillId="0" borderId="1" xfId="9" applyFont="1" applyBorder="1" applyAlignment="1">
      <alignment horizontal="left"/>
    </xf>
    <xf numFmtId="0" fontId="24" fillId="0" borderId="0" xfId="9" applyFont="1" applyAlignment="1">
      <alignment horizontal="left"/>
    </xf>
    <xf numFmtId="0" fontId="15" fillId="0" borderId="0" xfId="6" applyFont="1"/>
    <xf numFmtId="0" fontId="16" fillId="0" borderId="0" xfId="6" applyFont="1"/>
    <xf numFmtId="164" fontId="9" fillId="0" borderId="12" xfId="1" applyNumberFormat="1" applyFont="1" applyFill="1" applyBorder="1"/>
    <xf numFmtId="164" fontId="9" fillId="0" borderId="13" xfId="1" applyNumberFormat="1" applyFont="1" applyFill="1" applyBorder="1"/>
    <xf numFmtId="164" fontId="9" fillId="0" borderId="14" xfId="1" applyNumberFormat="1" applyFont="1" applyFill="1" applyBorder="1"/>
    <xf numFmtId="164" fontId="9" fillId="0" borderId="0" xfId="1" applyNumberFormat="1" applyFont="1" applyFill="1" applyBorder="1"/>
    <xf numFmtId="164" fontId="9" fillId="0" borderId="1" xfId="1" applyNumberFormat="1" applyFont="1" applyFill="1" applyBorder="1"/>
    <xf numFmtId="0" fontId="9" fillId="2" borderId="0" xfId="0" applyFont="1" applyFill="1"/>
    <xf numFmtId="0" fontId="10" fillId="0" borderId="1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4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13" xfId="0" applyFont="1" applyFill="1" applyBorder="1"/>
    <xf numFmtId="0" fontId="9" fillId="0" borderId="5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9" fillId="0" borderId="4" xfId="1" applyNumberFormat="1" applyFont="1" applyFill="1" applyBorder="1"/>
    <xf numFmtId="164" fontId="9" fillId="0" borderId="2" xfId="1" applyNumberFormat="1" applyFont="1" applyFill="1" applyBorder="1"/>
    <xf numFmtId="9" fontId="9" fillId="0" borderId="4" xfId="3" applyFont="1" applyFill="1" applyBorder="1"/>
    <xf numFmtId="165" fontId="9" fillId="0" borderId="2" xfId="2" applyNumberFormat="1" applyFont="1" applyFill="1" applyBorder="1"/>
    <xf numFmtId="165" fontId="9" fillId="0" borderId="0" xfId="2" applyNumberFormat="1" applyFont="1" applyFill="1" applyBorder="1"/>
    <xf numFmtId="164" fontId="9" fillId="0" borderId="5" xfId="1" applyNumberFormat="1" applyFont="1" applyFill="1" applyBorder="1"/>
    <xf numFmtId="9" fontId="9" fillId="0" borderId="5" xfId="3" applyFont="1" applyFill="1" applyBorder="1"/>
    <xf numFmtId="164" fontId="9" fillId="0" borderId="5" xfId="1" applyNumberFormat="1" applyFont="1" applyFill="1" applyBorder="1" applyAlignment="1">
      <alignment horizontal="left"/>
    </xf>
    <xf numFmtId="0" fontId="9" fillId="0" borderId="14" xfId="0" applyFont="1" applyFill="1" applyBorder="1"/>
    <xf numFmtId="164" fontId="9" fillId="0" borderId="6" xfId="1" applyNumberFormat="1" applyFont="1" applyFill="1" applyBorder="1"/>
    <xf numFmtId="9" fontId="9" fillId="0" borderId="6" xfId="3" applyFont="1" applyFill="1" applyBorder="1"/>
    <xf numFmtId="165" fontId="9" fillId="0" borderId="1" xfId="2" applyNumberFormat="1" applyFont="1" applyFill="1" applyBorder="1"/>
    <xf numFmtId="164" fontId="9" fillId="0" borderId="15" xfId="1" applyNumberFormat="1" applyFont="1" applyFill="1" applyBorder="1"/>
    <xf numFmtId="164" fontId="9" fillId="0" borderId="3" xfId="1" applyNumberFormat="1" applyFont="1" applyFill="1" applyBorder="1"/>
    <xf numFmtId="164" fontId="9" fillId="0" borderId="11" xfId="1" applyNumberFormat="1" applyFont="1" applyFill="1" applyBorder="1"/>
    <xf numFmtId="9" fontId="9" fillId="0" borderId="3" xfId="3" applyFont="1" applyFill="1" applyBorder="1"/>
    <xf numFmtId="165" fontId="9" fillId="0" borderId="11" xfId="2" applyNumberFormat="1" applyFont="1" applyFill="1" applyBorder="1"/>
    <xf numFmtId="164" fontId="9" fillId="0" borderId="0" xfId="0" applyNumberFormat="1" applyFont="1" applyFill="1"/>
    <xf numFmtId="0" fontId="9" fillId="0" borderId="8" xfId="0" applyFont="1" applyFill="1" applyBorder="1"/>
    <xf numFmtId="0" fontId="9" fillId="0" borderId="9" xfId="0" applyFont="1" applyFill="1" applyBorder="1"/>
    <xf numFmtId="4" fontId="9" fillId="0" borderId="0" xfId="0" applyNumberFormat="1" applyFont="1" applyFill="1"/>
    <xf numFmtId="0" fontId="9" fillId="0" borderId="10" xfId="0" applyFont="1" applyFill="1" applyBorder="1"/>
    <xf numFmtId="0" fontId="9" fillId="0" borderId="6" xfId="0" applyFont="1" applyFill="1" applyBorder="1" applyAlignment="1">
      <alignment horizontal="right"/>
    </xf>
    <xf numFmtId="43" fontId="9" fillId="0" borderId="0" xfId="0" applyNumberFormat="1" applyFont="1" applyFill="1"/>
    <xf numFmtId="164" fontId="9" fillId="0" borderId="12" xfId="0" applyNumberFormat="1" applyFont="1" applyFill="1" applyBorder="1"/>
    <xf numFmtId="164" fontId="9" fillId="0" borderId="2" xfId="0" applyNumberFormat="1" applyFont="1" applyFill="1" applyBorder="1"/>
    <xf numFmtId="164" fontId="9" fillId="0" borderId="13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0" fontId="9" fillId="0" borderId="0" xfId="0" applyFont="1" applyFill="1" applyBorder="1"/>
    <xf numFmtId="0" fontId="11" fillId="0" borderId="0" xfId="0" applyFont="1" applyFill="1"/>
    <xf numFmtId="9" fontId="9" fillId="0" borderId="4" xfId="4" applyFont="1" applyFill="1" applyBorder="1"/>
    <xf numFmtId="165" fontId="9" fillId="0" borderId="2" xfId="5" applyNumberFormat="1" applyFont="1" applyFill="1" applyBorder="1"/>
    <xf numFmtId="165" fontId="9" fillId="0" borderId="0" xfId="5" applyNumberFormat="1" applyFont="1" applyFill="1" applyBorder="1"/>
    <xf numFmtId="9" fontId="9" fillId="0" borderId="5" xfId="4" applyFont="1" applyFill="1" applyBorder="1"/>
    <xf numFmtId="164" fontId="9" fillId="0" borderId="0" xfId="1" applyNumberFormat="1" applyFont="1" applyFill="1" applyBorder="1" applyAlignment="1">
      <alignment horizontal="left"/>
    </xf>
    <xf numFmtId="9" fontId="9" fillId="0" borderId="6" xfId="4" applyFont="1" applyFill="1" applyBorder="1"/>
    <xf numFmtId="165" fontId="9" fillId="0" borderId="1" xfId="5" applyNumberFormat="1" applyFont="1" applyFill="1" applyBorder="1"/>
    <xf numFmtId="0" fontId="9" fillId="0" borderId="15" xfId="0" applyFont="1" applyFill="1" applyBorder="1"/>
    <xf numFmtId="164" fontId="9" fillId="0" borderId="15" xfId="0" applyNumberFormat="1" applyFont="1" applyFill="1" applyBorder="1"/>
    <xf numFmtId="164" fontId="9" fillId="0" borderId="3" xfId="0" applyNumberFormat="1" applyFont="1" applyFill="1" applyBorder="1"/>
    <xf numFmtId="9" fontId="9" fillId="0" borderId="3" xfId="4" applyFont="1" applyFill="1" applyBorder="1"/>
    <xf numFmtId="165" fontId="9" fillId="0" borderId="11" xfId="5" applyNumberFormat="1" applyFont="1" applyFill="1" applyBorder="1"/>
    <xf numFmtId="0" fontId="9" fillId="0" borderId="2" xfId="0" applyFont="1" applyBorder="1" applyAlignment="1">
      <alignment horizontal="right"/>
    </xf>
    <xf numFmtId="0" fontId="9" fillId="0" borderId="4" xfId="0" applyFont="1" applyBorder="1"/>
    <xf numFmtId="0" fontId="9" fillId="0" borderId="2" xfId="0" applyFont="1" applyBorder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4" fillId="0" borderId="0" xfId="11"/>
    <xf numFmtId="0" fontId="13" fillId="0" borderId="11" xfId="11" applyFont="1" applyBorder="1" applyAlignment="1">
      <alignment horizontal="center"/>
    </xf>
    <xf numFmtId="0" fontId="13" fillId="0" borderId="1" xfId="11" applyFont="1" applyBorder="1"/>
    <xf numFmtId="0" fontId="13" fillId="0" borderId="0" xfId="11" applyFont="1"/>
    <xf numFmtId="164" fontId="9" fillId="0" borderId="0" xfId="0" applyNumberFormat="1" applyFont="1" applyFill="1" applyBorder="1"/>
    <xf numFmtId="165" fontId="9" fillId="0" borderId="13" xfId="2" applyNumberFormat="1" applyFont="1" applyFill="1" applyBorder="1"/>
    <xf numFmtId="0" fontId="3" fillId="0" borderId="0" xfId="11" applyFont="1"/>
    <xf numFmtId="0" fontId="28" fillId="0" borderId="0" xfId="11" applyFont="1"/>
    <xf numFmtId="0" fontId="29" fillId="0" borderId="0" xfId="11" applyFont="1"/>
    <xf numFmtId="0" fontId="30" fillId="0" borderId="0" xfId="11" applyFont="1"/>
    <xf numFmtId="0" fontId="13" fillId="0" borderId="7" xfId="11" applyFont="1" applyBorder="1" applyAlignment="1">
      <alignment horizontal="center" wrapText="1"/>
    </xf>
    <xf numFmtId="0" fontId="2" fillId="0" borderId="0" xfId="11" applyFont="1"/>
    <xf numFmtId="3" fontId="31" fillId="0" borderId="2" xfId="0" applyNumberFormat="1" applyFont="1" applyBorder="1"/>
    <xf numFmtId="3" fontId="31" fillId="0" borderId="0" xfId="0" applyNumberFormat="1" applyFont="1"/>
    <xf numFmtId="3" fontId="31" fillId="0" borderId="1" xfId="0" applyNumberFormat="1" applyFont="1" applyBorder="1"/>
    <xf numFmtId="0" fontId="31" fillId="0" borderId="0" xfId="0" applyFont="1"/>
    <xf numFmtId="3" fontId="32" fillId="0" borderId="0" xfId="0" applyNumberFormat="1" applyFont="1"/>
    <xf numFmtId="0" fontId="31" fillId="0" borderId="1" xfId="0" applyFont="1" applyBorder="1" applyAlignment="1">
      <alignment horizontal="right"/>
    </xf>
    <xf numFmtId="0" fontId="31" fillId="0" borderId="1" xfId="0" applyFont="1" applyBorder="1"/>
    <xf numFmtId="0" fontId="31" fillId="0" borderId="0" xfId="0" applyFont="1" applyAlignment="1">
      <alignment horizontal="right"/>
    </xf>
    <xf numFmtId="0" fontId="31" fillId="0" borderId="2" xfId="0" applyFont="1" applyBorder="1"/>
    <xf numFmtId="0" fontId="0" fillId="0" borderId="0" xfId="0" applyAlignment="1">
      <alignment horizontal="right"/>
    </xf>
    <xf numFmtId="0" fontId="17" fillId="0" borderId="0" xfId="0" applyFont="1"/>
    <xf numFmtId="0" fontId="14" fillId="0" borderId="0" xfId="0" applyFont="1" applyAlignment="1">
      <alignment horizontal="center"/>
    </xf>
    <xf numFmtId="165" fontId="0" fillId="0" borderId="0" xfId="2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indent="3"/>
    </xf>
    <xf numFmtId="0" fontId="21" fillId="0" borderId="0" xfId="0" applyFont="1"/>
    <xf numFmtId="0" fontId="14" fillId="0" borderId="0" xfId="0" applyFont="1"/>
    <xf numFmtId="0" fontId="0" fillId="0" borderId="0" xfId="0" applyAlignment="1">
      <alignment horizontal="center" wrapText="1"/>
    </xf>
    <xf numFmtId="165" fontId="0" fillId="0" borderId="24" xfId="2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7" xfId="2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3" fillId="0" borderId="1" xfId="0" applyFont="1" applyBorder="1"/>
    <xf numFmtId="165" fontId="0" fillId="0" borderId="16" xfId="2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13" xfId="2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0" borderId="0" xfId="0" applyFont="1" applyAlignment="1">
      <alignment horizontal="left" vertical="top"/>
    </xf>
    <xf numFmtId="9" fontId="0" fillId="0" borderId="0" xfId="3" applyFont="1" applyAlignment="1">
      <alignment horizontal="center"/>
    </xf>
    <xf numFmtId="165" fontId="24" fillId="0" borderId="16" xfId="2" applyNumberFormat="1" applyFont="1" applyBorder="1"/>
    <xf numFmtId="165" fontId="24" fillId="0" borderId="0" xfId="2" applyNumberFormat="1" applyFont="1" applyBorder="1"/>
    <xf numFmtId="9" fontId="0" fillId="0" borderId="5" xfId="3" applyFont="1" applyBorder="1" applyAlignment="1">
      <alignment horizontal="center"/>
    </xf>
    <xf numFmtId="165" fontId="0" fillId="0" borderId="13" xfId="2" applyNumberFormat="1" applyFont="1" applyBorder="1"/>
    <xf numFmtId="9" fontId="0" fillId="0" borderId="17" xfId="3" applyFont="1" applyBorder="1" applyAlignment="1">
      <alignment horizontal="center"/>
    </xf>
    <xf numFmtId="164" fontId="0" fillId="0" borderId="16" xfId="1" applyNumberFormat="1" applyFont="1" applyBorder="1"/>
    <xf numFmtId="164" fontId="24" fillId="0" borderId="0" xfId="1" applyNumberFormat="1" applyFont="1" applyBorder="1"/>
    <xf numFmtId="164" fontId="0" fillId="0" borderId="13" xfId="1" applyNumberFormat="1" applyFont="1" applyBorder="1"/>
    <xf numFmtId="165" fontId="24" fillId="0" borderId="26" xfId="2" applyNumberFormat="1" applyFont="1" applyBorder="1"/>
    <xf numFmtId="165" fontId="24" fillId="0" borderId="1" xfId="2" applyNumberFormat="1" applyFont="1" applyBorder="1"/>
    <xf numFmtId="165" fontId="0" fillId="0" borderId="14" xfId="2" applyNumberFormat="1" applyFont="1" applyBorder="1"/>
    <xf numFmtId="164" fontId="0" fillId="0" borderId="26" xfId="1" applyNumberFormat="1" applyFont="1" applyBorder="1"/>
    <xf numFmtId="164" fontId="0" fillId="0" borderId="1" xfId="1" applyNumberFormat="1" applyFont="1" applyBorder="1"/>
    <xf numFmtId="164" fontId="0" fillId="0" borderId="14" xfId="1" applyNumberFormat="1" applyFont="1" applyBorder="1"/>
    <xf numFmtId="0" fontId="13" fillId="0" borderId="0" xfId="0" applyFont="1"/>
    <xf numFmtId="9" fontId="13" fillId="0" borderId="0" xfId="0" applyNumberFormat="1" applyFont="1" applyAlignment="1">
      <alignment horizontal="center"/>
    </xf>
    <xf numFmtId="165" fontId="25" fillId="0" borderId="16" xfId="2" applyNumberFormat="1" applyFont="1" applyBorder="1"/>
    <xf numFmtId="165" fontId="25" fillId="0" borderId="0" xfId="2" applyNumberFormat="1" applyFont="1" applyBorder="1"/>
    <xf numFmtId="9" fontId="13" fillId="0" borderId="5" xfId="3" applyFont="1" applyBorder="1" applyAlignment="1">
      <alignment horizontal="center"/>
    </xf>
    <xf numFmtId="165" fontId="25" fillId="0" borderId="13" xfId="2" applyNumberFormat="1" applyFont="1" applyBorder="1"/>
    <xf numFmtId="9" fontId="13" fillId="0" borderId="33" xfId="3" applyFont="1" applyBorder="1" applyAlignment="1">
      <alignment horizontal="center"/>
    </xf>
    <xf numFmtId="164" fontId="13" fillId="0" borderId="16" xfId="1" applyNumberFormat="1" applyFont="1" applyBorder="1"/>
    <xf numFmtId="164" fontId="13" fillId="0" borderId="0" xfId="1" applyNumberFormat="1" applyFont="1" applyBorder="1"/>
    <xf numFmtId="9" fontId="13" fillId="0" borderId="27" xfId="3" applyFont="1" applyBorder="1" applyAlignment="1">
      <alignment horizontal="center"/>
    </xf>
    <xf numFmtId="9" fontId="13" fillId="0" borderId="17" xfId="3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1" applyNumberFormat="1" applyFont="1" applyBorder="1"/>
    <xf numFmtId="165" fontId="24" fillId="0" borderId="0" xfId="2" applyNumberFormat="1" applyFont="1" applyFill="1" applyBorder="1"/>
    <xf numFmtId="165" fontId="24" fillId="0" borderId="1" xfId="2" applyNumberFormat="1" applyFont="1" applyFill="1" applyBorder="1"/>
    <xf numFmtId="9" fontId="13" fillId="0" borderId="0" xfId="3" applyFont="1" applyAlignment="1">
      <alignment horizontal="center"/>
    </xf>
    <xf numFmtId="165" fontId="0" fillId="0" borderId="16" xfId="2" applyNumberFormat="1" applyFont="1" applyBorder="1"/>
    <xf numFmtId="0" fontId="0" fillId="0" borderId="17" xfId="0" applyBorder="1"/>
    <xf numFmtId="165" fontId="0" fillId="0" borderId="0" xfId="2" applyNumberFormat="1" applyFont="1" applyBorder="1"/>
    <xf numFmtId="0" fontId="0" fillId="0" borderId="0" xfId="0" applyAlignment="1">
      <alignment horizontal="left"/>
    </xf>
    <xf numFmtId="165" fontId="13" fillId="0" borderId="28" xfId="2" applyNumberFormat="1" applyFont="1" applyBorder="1"/>
    <xf numFmtId="165" fontId="13" fillId="0" borderId="29" xfId="2" applyNumberFormat="1" applyFont="1" applyBorder="1"/>
    <xf numFmtId="165" fontId="13" fillId="0" borderId="32" xfId="2" applyNumberFormat="1" applyFont="1" applyBorder="1"/>
    <xf numFmtId="164" fontId="13" fillId="0" borderId="28" xfId="1" applyNumberFormat="1" applyFont="1" applyBorder="1"/>
    <xf numFmtId="164" fontId="13" fillId="0" borderId="29" xfId="1" applyNumberFormat="1" applyFont="1" applyBorder="1"/>
    <xf numFmtId="165" fontId="0" fillId="0" borderId="18" xfId="2" applyNumberFormat="1" applyFont="1" applyBorder="1"/>
    <xf numFmtId="0" fontId="0" fillId="0" borderId="19" xfId="0" applyBorder="1"/>
    <xf numFmtId="0" fontId="0" fillId="0" borderId="30" xfId="0" applyBorder="1" applyAlignment="1">
      <alignment horizontal="center"/>
    </xf>
    <xf numFmtId="165" fontId="0" fillId="0" borderId="31" xfId="2" applyNumberFormat="1" applyFont="1" applyBorder="1"/>
    <xf numFmtId="0" fontId="0" fillId="0" borderId="20" xfId="0" applyBorder="1"/>
    <xf numFmtId="9" fontId="0" fillId="0" borderId="30" xfId="3" applyFon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0" xfId="0" applyNumberFormat="1"/>
    <xf numFmtId="0" fontId="26" fillId="0" borderId="0" xfId="0" applyFont="1" applyAlignment="1">
      <alignment horizontal="left" vertical="top"/>
    </xf>
    <xf numFmtId="3" fontId="33" fillId="0" borderId="0" xfId="0" applyNumberFormat="1" applyFont="1"/>
    <xf numFmtId="9" fontId="0" fillId="0" borderId="0" xfId="3" applyFont="1" applyBorder="1" applyAlignment="1">
      <alignment horizontal="center"/>
    </xf>
    <xf numFmtId="165" fontId="0" fillId="0" borderId="2" xfId="2" applyNumberFormat="1" applyFont="1" applyFill="1" applyBorder="1"/>
    <xf numFmtId="164" fontId="0" fillId="0" borderId="2" xfId="0" applyNumberFormat="1" applyBorder="1"/>
    <xf numFmtId="165" fontId="0" fillId="0" borderId="0" xfId="2" applyNumberFormat="1" applyFont="1" applyFill="1" applyBorder="1"/>
    <xf numFmtId="165" fontId="0" fillId="0" borderId="2" xfId="2" applyNumberFormat="1" applyFont="1" applyBorder="1"/>
    <xf numFmtId="0" fontId="27" fillId="0" borderId="0" xfId="0" applyFont="1" applyAlignment="1">
      <alignment horizontal="right"/>
    </xf>
    <xf numFmtId="165" fontId="27" fillId="0" borderId="0" xfId="2" applyNumberFormat="1" applyFont="1" applyFill="1"/>
    <xf numFmtId="164" fontId="0" fillId="0" borderId="0" xfId="0" applyNumberFormat="1"/>
    <xf numFmtId="165" fontId="27" fillId="0" borderId="29" xfId="2" applyNumberFormat="1" applyFont="1" applyBorder="1"/>
    <xf numFmtId="164" fontId="0" fillId="0" borderId="29" xfId="0" applyNumberFormat="1" applyBorder="1"/>
    <xf numFmtId="164" fontId="0" fillId="0" borderId="0" xfId="1" applyNumberFormat="1" applyFont="1"/>
    <xf numFmtId="0" fontId="24" fillId="0" borderId="0" xfId="0" applyFont="1" applyAlignment="1">
      <alignment horizontal="right"/>
    </xf>
    <xf numFmtId="0" fontId="24" fillId="0" borderId="0" xfId="0" applyFont="1"/>
    <xf numFmtId="165" fontId="24" fillId="0" borderId="0" xfId="2" applyNumberFormat="1" applyFont="1"/>
    <xf numFmtId="9" fontId="24" fillId="0" borderId="0" xfId="3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indent="3"/>
    </xf>
    <xf numFmtId="16" fontId="25" fillId="0" borderId="0" xfId="0" applyNumberFormat="1" applyFont="1"/>
    <xf numFmtId="0" fontId="24" fillId="0" borderId="0" xfId="0" applyFont="1" applyAlignment="1">
      <alignment horizontal="center" wrapText="1"/>
    </xf>
    <xf numFmtId="165" fontId="24" fillId="0" borderId="24" xfId="2" applyNumberFormat="1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165" fontId="24" fillId="0" borderId="7" xfId="2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165" fontId="24" fillId="0" borderId="16" xfId="2" applyNumberFormat="1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165" fontId="24" fillId="0" borderId="13" xfId="2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165" fontId="0" fillId="0" borderId="1" xfId="2" applyNumberFormat="1" applyFont="1" applyBorder="1"/>
    <xf numFmtId="164" fontId="24" fillId="0" borderId="16" xfId="1" applyNumberFormat="1" applyFont="1" applyBorder="1"/>
    <xf numFmtId="165" fontId="0" fillId="0" borderId="1" xfId="2" applyNumberFormat="1" applyFont="1" applyFill="1" applyBorder="1"/>
    <xf numFmtId="165" fontId="25" fillId="0" borderId="34" xfId="2" applyNumberFormat="1" applyFont="1" applyBorder="1"/>
    <xf numFmtId="9" fontId="13" fillId="0" borderId="0" xfId="3" applyFont="1" applyBorder="1" applyAlignment="1">
      <alignment horizontal="center"/>
    </xf>
    <xf numFmtId="165" fontId="25" fillId="0" borderId="12" xfId="2" applyNumberFormat="1" applyFont="1" applyBorder="1"/>
    <xf numFmtId="164" fontId="25" fillId="0" borderId="34" xfId="1" applyNumberFormat="1" applyFont="1" applyBorder="1"/>
    <xf numFmtId="164" fontId="25" fillId="0" borderId="0" xfId="1" applyNumberFormat="1" applyFont="1" applyBorder="1"/>
    <xf numFmtId="164" fontId="25" fillId="0" borderId="2" xfId="1" applyNumberFormat="1" applyFont="1" applyBorder="1"/>
    <xf numFmtId="164" fontId="25" fillId="0" borderId="16" xfId="1" applyNumberFormat="1" applyFont="1" applyBorder="1"/>
    <xf numFmtId="165" fontId="1" fillId="0" borderId="16" xfId="2" applyNumberFormat="1" applyFont="1" applyBorder="1"/>
    <xf numFmtId="165" fontId="1" fillId="0" borderId="0" xfId="2" applyNumberFormat="1" applyFont="1" applyBorder="1"/>
    <xf numFmtId="164" fontId="1" fillId="0" borderId="16" xfId="1" applyNumberFormat="1" applyFont="1" applyBorder="1"/>
    <xf numFmtId="164" fontId="1" fillId="0" borderId="0" xfId="1" applyNumberFormat="1" applyFont="1" applyBorder="1"/>
    <xf numFmtId="165" fontId="0" fillId="0" borderId="0" xfId="2" applyNumberFormat="1" applyFont="1" applyFill="1"/>
    <xf numFmtId="164" fontId="0" fillId="0" borderId="0" xfId="1" applyNumberFormat="1" applyFont="1" applyFill="1" applyBorder="1"/>
    <xf numFmtId="165" fontId="27" fillId="0" borderId="29" xfId="0" applyNumberFormat="1" applyFont="1" applyBorder="1"/>
    <xf numFmtId="0" fontId="14" fillId="0" borderId="0" xfId="0" applyFont="1" applyAlignment="1">
      <alignment horizontal="right"/>
    </xf>
    <xf numFmtId="165" fontId="14" fillId="0" borderId="0" xfId="0" applyNumberFormat="1" applyFont="1"/>
    <xf numFmtId="9" fontId="9" fillId="0" borderId="0" xfId="3" applyFont="1" applyFill="1" applyBorder="1"/>
    <xf numFmtId="0" fontId="9" fillId="0" borderId="13" xfId="0" applyFont="1" applyBorder="1"/>
    <xf numFmtId="0" fontId="9" fillId="0" borderId="14" xfId="0" applyFont="1" applyBorder="1"/>
    <xf numFmtId="0" fontId="34" fillId="0" borderId="7" xfId="0" applyFont="1" applyBorder="1"/>
    <xf numFmtId="0" fontId="9" fillId="0" borderId="1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9" fillId="0" borderId="9" xfId="0" applyFont="1" applyBorder="1"/>
    <xf numFmtId="165" fontId="9" fillId="0" borderId="13" xfId="5" applyNumberFormat="1" applyFont="1" applyFill="1" applyBorder="1"/>
    <xf numFmtId="9" fontId="9" fillId="0" borderId="0" xfId="4" applyFont="1" applyFill="1" applyBorder="1"/>
    <xf numFmtId="0" fontId="34" fillId="0" borderId="15" xfId="0" applyFont="1" applyBorder="1"/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0" fillId="5" borderId="21" xfId="2" applyNumberFormat="1" applyFont="1" applyFill="1" applyBorder="1" applyAlignment="1">
      <alignment horizontal="center"/>
    </xf>
    <xf numFmtId="165" fontId="0" fillId="5" borderId="22" xfId="2" applyNumberFormat="1" applyFont="1" applyFill="1" applyBorder="1" applyAlignment="1">
      <alignment horizontal="center"/>
    </xf>
    <xf numFmtId="165" fontId="0" fillId="5" borderId="22" xfId="2" applyNumberFormat="1" applyFont="1" applyFill="1" applyBorder="1" applyAlignment="1">
      <alignment horizontal="center" wrapText="1"/>
    </xf>
    <xf numFmtId="165" fontId="0" fillId="5" borderId="23" xfId="2" applyNumberFormat="1" applyFont="1" applyFill="1" applyBorder="1" applyAlignment="1">
      <alignment horizontal="center"/>
    </xf>
    <xf numFmtId="165" fontId="0" fillId="6" borderId="21" xfId="2" applyNumberFormat="1" applyFont="1" applyFill="1" applyBorder="1" applyAlignment="1">
      <alignment horizontal="center"/>
    </xf>
    <xf numFmtId="165" fontId="0" fillId="6" borderId="22" xfId="2" applyNumberFormat="1" applyFont="1" applyFill="1" applyBorder="1" applyAlignment="1">
      <alignment horizontal="center"/>
    </xf>
    <xf numFmtId="165" fontId="0" fillId="6" borderId="23" xfId="2" applyNumberFormat="1" applyFont="1" applyFill="1" applyBorder="1" applyAlignment="1">
      <alignment horizontal="center"/>
    </xf>
    <xf numFmtId="0" fontId="15" fillId="0" borderId="0" xfId="6" applyFont="1" applyAlignment="1">
      <alignment horizontal="center"/>
    </xf>
    <xf numFmtId="0" fontId="16" fillId="0" borderId="0" xfId="6" applyFont="1" applyAlignment="1">
      <alignment horizontal="center"/>
    </xf>
    <xf numFmtId="9" fontId="19" fillId="3" borderId="0" xfId="3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24" fillId="6" borderId="22" xfId="2" applyNumberFormat="1" applyFont="1" applyFill="1" applyBorder="1" applyAlignment="1">
      <alignment horizontal="center"/>
    </xf>
    <xf numFmtId="165" fontId="24" fillId="6" borderId="23" xfId="2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9" fontId="25" fillId="3" borderId="0" xfId="3" applyFont="1" applyFill="1" applyBorder="1" applyAlignment="1">
      <alignment horizontal="center"/>
    </xf>
    <xf numFmtId="165" fontId="24" fillId="5" borderId="21" xfId="2" applyNumberFormat="1" applyFont="1" applyFill="1" applyBorder="1" applyAlignment="1">
      <alignment horizontal="center"/>
    </xf>
    <xf numFmtId="165" fontId="24" fillId="5" borderId="22" xfId="2" applyNumberFormat="1" applyFont="1" applyFill="1" applyBorder="1" applyAlignment="1">
      <alignment horizontal="center"/>
    </xf>
    <xf numFmtId="165" fontId="24" fillId="5" borderId="22" xfId="2" applyNumberFormat="1" applyFont="1" applyFill="1" applyBorder="1" applyAlignment="1">
      <alignment horizontal="center" wrapText="1"/>
    </xf>
    <xf numFmtId="165" fontId="24" fillId="5" borderId="23" xfId="2" applyNumberFormat="1" applyFont="1" applyFill="1" applyBorder="1" applyAlignment="1">
      <alignment horizontal="center"/>
    </xf>
    <xf numFmtId="165" fontId="24" fillId="6" borderId="21" xfId="2" applyNumberFormat="1" applyFont="1" applyFill="1" applyBorder="1" applyAlignment="1">
      <alignment horizontal="center"/>
    </xf>
  </cellXfs>
  <cellStyles count="14">
    <cellStyle name="Comma" xfId="1" builtinId="3"/>
    <cellStyle name="Comma 2" xfId="10" xr:uid="{AA2BD3A1-9CE0-4290-A8BC-206BA4DBA060}"/>
    <cellStyle name="Comma 3" xfId="13" xr:uid="{BE9EE609-2BC8-4A1B-AD15-AEA6B18A353E}"/>
    <cellStyle name="Currency" xfId="2" builtinId="4"/>
    <cellStyle name="Currency 2" xfId="5" xr:uid="{00000000-0005-0000-0000-000002000000}"/>
    <cellStyle name="Currency 3" xfId="7" xr:uid="{F3C9DC96-DF00-4376-959E-E9D29667F0AD}"/>
    <cellStyle name="Currency 4" xfId="12" xr:uid="{110BB8C3-B3DB-4A77-ABB5-797E3F7733EF}"/>
    <cellStyle name="Normal" xfId="0" builtinId="0"/>
    <cellStyle name="Normal 2" xfId="6" xr:uid="{9F1795F6-1132-4118-BEA5-27550C571B58}"/>
    <cellStyle name="Normal 2 2" xfId="9" xr:uid="{1E0D28A4-2D26-4951-94AF-C38B2925A32E}"/>
    <cellStyle name="Normal 3" xfId="11" xr:uid="{60419683-5EFB-4D9D-94CA-8F700F6C2CF5}"/>
    <cellStyle name="Percent" xfId="3" builtinId="5"/>
    <cellStyle name="Percent 2" xfId="4" xr:uid="{00000000-0005-0000-0000-000005000000}"/>
    <cellStyle name="Percent 3" xfId="8" xr:uid="{21976047-BBA2-4B5E-B652-2D1F270EB2C3}"/>
  </cellStyles>
  <dxfs count="36"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b/>
        <i val="0"/>
        <color rgb="FF006600"/>
      </font>
      <fill>
        <patternFill>
          <bgColor rgb="FFCCFFCC"/>
        </patternFill>
      </fill>
    </dxf>
    <dxf>
      <font>
        <b/>
        <i val="0"/>
        <color rgb="FF99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14" Target="../customXml/item1.xml" Type="http://schemas.openxmlformats.org/officeDocument/2006/relationships/customXml"/><Relationship Id="rId15" Target="../customXml/item2.xml" Type="http://schemas.openxmlformats.org/officeDocument/2006/relationships/customXml"/><Relationship Id="rId16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externalLinks/externalLink1.xml" Type="http://schemas.openxmlformats.org/officeDocument/2006/relationships/externalLink"/><Relationship Id="rId9" Target="externalLinks/externalLink2.xml" Type="http://schemas.openxmlformats.org/officeDocument/2006/relationships/externalLink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2285171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1400471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2285171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924775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1102705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862513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524368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file:///C:/IIEEP396.XLS" TargetMode="External" Type="http://schemas.openxmlformats.org/officeDocument/2006/relationships/externalLinkPath"/></Relationships>
</file>

<file path=xl/externalLinks/_rels/externalLink2.xml.rels><?xml version="1.0" encoding="UTF-8" standalone="no"?><Relationships xmlns="http://schemas.openxmlformats.org/package/2006/relationships"><Relationship Id="rId1" Target="file:///C:/Users/57148/ICF/MidAmerican%20-%20Iowa%202021%20Annual%20Report%20Exhibits/Data/12-EE%20monthly%20report%20-%20all%20states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ums"/>
      <sheetName val="KPI"/>
      <sheetName val="IA Elec - actuals - 186355"/>
      <sheetName val="IA Elec - actual $ by sub OLD"/>
      <sheetName val="IA Elec - actuals 186358"/>
      <sheetName val="IA Elec - actuals ALL"/>
      <sheetName val="IA Elec-actuals 186355 $ by sub"/>
      <sheetName val="IA Elec-actuals 186358 $ by sub"/>
      <sheetName val="IA Elec - forecast"/>
      <sheetName val="IA Elec - actual $ by sub"/>
      <sheetName val="IA Gas - actuals - 186345"/>
      <sheetName val="IA Gas - actual $ by sub OLD"/>
      <sheetName val="IA Gas - actuals - 186348"/>
      <sheetName val="IA Gas - actuals ALL"/>
      <sheetName val="IA Gas-actuals 186345 $ by sub"/>
      <sheetName val="IA Gas -forecast"/>
      <sheetName val="IA Gas-actuals 186348 $ by sub"/>
      <sheetName val="IA Gas - actuals $ by sub"/>
      <sheetName val="IL Elec - actuals"/>
      <sheetName val="IL Elec - forecast"/>
      <sheetName val="IL Gas - actuals"/>
      <sheetName val="IL Gas - forecast"/>
      <sheetName val="SD Elec - actuals"/>
      <sheetName val="SD Elec - forecast"/>
      <sheetName val="SD Gas - actuals"/>
      <sheetName val="SD Gas - forecast"/>
      <sheetName val="NE Gas - actuals"/>
      <sheetName val="NE Gas - forecast"/>
    </sheetNames>
    <sheetDataSet>
      <sheetData sheetId="0" refreshError="1"/>
      <sheetData sheetId="1" refreshError="1"/>
      <sheetData sheetId="2">
        <row r="3">
          <cell r="E3" t="str">
            <v>2021 YTD through December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</row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  <row r="24">
          <cell r="F24">
            <v>0.43000156211035129</v>
          </cell>
          <cell r="G24">
            <v>0</v>
          </cell>
          <cell r="I24">
            <v>0</v>
          </cell>
          <cell r="J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F28">
            <v>0.30999778398299005</v>
          </cell>
          <cell r="G28">
            <v>0</v>
          </cell>
          <cell r="I28">
            <v>85332.67</v>
          </cell>
          <cell r="J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</row>
        <row r="42">
          <cell r="F42">
            <v>0.18000065390665868</v>
          </cell>
          <cell r="G42">
            <v>0</v>
          </cell>
          <cell r="I42">
            <v>0</v>
          </cell>
          <cell r="J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</row>
      </sheetData>
      <sheetData sheetId="3" refreshError="1"/>
      <sheetData sheetId="4">
        <row r="3">
          <cell r="E3" t="str">
            <v>2021 YTD through December</v>
          </cell>
        </row>
        <row r="10">
          <cell r="F10">
            <v>484602.01148818451</v>
          </cell>
          <cell r="G10">
            <v>653209.22337437654</v>
          </cell>
          <cell r="I10">
            <v>1857688.13</v>
          </cell>
          <cell r="J10">
            <v>2754851</v>
          </cell>
          <cell r="O10">
            <v>3810183.5547000002</v>
          </cell>
          <cell r="P10">
            <v>3508507</v>
          </cell>
          <cell r="R10">
            <v>2292.2943999999998</v>
          </cell>
          <cell r="S10">
            <v>3239.3390272908819</v>
          </cell>
        </row>
        <row r="11">
          <cell r="F11">
            <v>84970.107871245156</v>
          </cell>
          <cell r="G11">
            <v>227196.90042273223</v>
          </cell>
          <cell r="I11">
            <v>866587.76</v>
          </cell>
          <cell r="J11">
            <v>745317.3415842175</v>
          </cell>
          <cell r="O11">
            <v>3718361.2248</v>
          </cell>
          <cell r="P11">
            <v>5764320</v>
          </cell>
          <cell r="R11">
            <v>425.53470000000004</v>
          </cell>
          <cell r="S11">
            <v>676.77403811608974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F13">
            <v>353414.78337073943</v>
          </cell>
          <cell r="G13">
            <v>545400</v>
          </cell>
          <cell r="I13">
            <v>562238.74</v>
          </cell>
          <cell r="J13">
            <v>952600</v>
          </cell>
          <cell r="O13">
            <v>21147064.899999999</v>
          </cell>
          <cell r="P13">
            <v>29499800</v>
          </cell>
          <cell r="R13">
            <v>6964.93</v>
          </cell>
          <cell r="S13">
            <v>9599.6495941435878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F15">
            <v>146606.27252408044</v>
          </cell>
          <cell r="G15">
            <v>205916.2336634681</v>
          </cell>
          <cell r="I15">
            <v>419103</v>
          </cell>
          <cell r="J15">
            <v>876920</v>
          </cell>
          <cell r="O15">
            <v>2552728.3199999998</v>
          </cell>
          <cell r="P15">
            <v>5256114.5999999978</v>
          </cell>
          <cell r="R15">
            <v>353.8646</v>
          </cell>
          <cell r="S15">
            <v>731.56483433232415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F17">
            <v>151238.99852151063</v>
          </cell>
          <cell r="G17">
            <v>54410</v>
          </cell>
          <cell r="I17">
            <v>375207.56</v>
          </cell>
          <cell r="J17">
            <v>678150.84997153142</v>
          </cell>
          <cell r="O17">
            <v>477631.07</v>
          </cell>
          <cell r="P17">
            <v>72662.74000000002</v>
          </cell>
          <cell r="R17">
            <v>76.017300000000006</v>
          </cell>
          <cell r="S17">
            <v>28.329348816029146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</row>
        <row r="20">
          <cell r="F20">
            <v>81792.705755231858</v>
          </cell>
          <cell r="G20">
            <v>180000</v>
          </cell>
          <cell r="I20">
            <v>0</v>
          </cell>
          <cell r="J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  <row r="24">
          <cell r="F24">
            <v>725466.54553644604</v>
          </cell>
          <cell r="G24">
            <v>792145.15180366463</v>
          </cell>
          <cell r="I24">
            <v>1922346.27</v>
          </cell>
          <cell r="J24">
            <v>4860748.0267284736</v>
          </cell>
          <cell r="O24">
            <v>14905117.8058</v>
          </cell>
          <cell r="P24">
            <v>27344775</v>
          </cell>
          <cell r="R24">
            <v>2276.7948999999999</v>
          </cell>
          <cell r="S24">
            <v>9754.1107519129218</v>
          </cell>
        </row>
        <row r="25">
          <cell r="F25">
            <v>1371859.9125254289</v>
          </cell>
          <cell r="G25">
            <v>1583726.798029759</v>
          </cell>
          <cell r="I25">
            <v>4408275.6100000003</v>
          </cell>
          <cell r="J25">
            <v>7980958.7999999998</v>
          </cell>
          <cell r="O25">
            <v>18476695.814100001</v>
          </cell>
          <cell r="P25">
            <v>62907760</v>
          </cell>
          <cell r="R25">
            <v>2867.9380999999998</v>
          </cell>
          <cell r="S25">
            <v>12317.560998987527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F28">
            <v>906577.52008224209</v>
          </cell>
          <cell r="G28">
            <v>855832</v>
          </cell>
          <cell r="I28">
            <v>4375135.8600000003</v>
          </cell>
          <cell r="J28">
            <v>5694118.0499999998</v>
          </cell>
          <cell r="O28">
            <v>42969397</v>
          </cell>
          <cell r="P28">
            <v>34408092</v>
          </cell>
          <cell r="R28">
            <v>17956</v>
          </cell>
          <cell r="S28">
            <v>7369.3515639055222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F30">
            <v>272056.5037658877</v>
          </cell>
          <cell r="G30">
            <v>165689.66656355941</v>
          </cell>
          <cell r="I30">
            <v>271809.78999999998</v>
          </cell>
          <cell r="J30">
            <v>547365.26730922831</v>
          </cell>
          <cell r="O30">
            <v>543882.66489999997</v>
          </cell>
          <cell r="P30">
            <v>2521099.6000000006</v>
          </cell>
          <cell r="R30">
            <v>93.291899999999998</v>
          </cell>
          <cell r="S30">
            <v>553.30970880307336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F33">
            <v>256458.57855900328</v>
          </cell>
          <cell r="G33">
            <v>420000</v>
          </cell>
          <cell r="I33">
            <v>0</v>
          </cell>
          <cell r="J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7">
          <cell r="F37">
            <v>35304.620000000003</v>
          </cell>
          <cell r="G37">
            <v>105000</v>
          </cell>
          <cell r="I37">
            <v>76150</v>
          </cell>
          <cell r="J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F38">
            <v>1798181.55</v>
          </cell>
          <cell r="G38">
            <v>1500000</v>
          </cell>
          <cell r="I38">
            <v>0</v>
          </cell>
          <cell r="J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</row>
        <row r="42">
          <cell r="F42">
            <v>1729591.9499999997</v>
          </cell>
          <cell r="G42">
            <v>1904250.6533727369</v>
          </cell>
          <cell r="I42">
            <v>1306275.3899999999</v>
          </cell>
          <cell r="J42">
            <v>1380000</v>
          </cell>
          <cell r="O42">
            <v>164889</v>
          </cell>
          <cell r="P42">
            <v>489100</v>
          </cell>
          <cell r="R42">
            <v>45003</v>
          </cell>
          <cell r="S42">
            <v>42216.69751943725</v>
          </cell>
        </row>
        <row r="43">
          <cell r="F43">
            <v>345092.3</v>
          </cell>
          <cell r="G43">
            <v>600000</v>
          </cell>
          <cell r="I43">
            <v>7048830</v>
          </cell>
          <cell r="J43">
            <v>8051750</v>
          </cell>
          <cell r="O43">
            <v>612728</v>
          </cell>
          <cell r="P43">
            <v>2770016</v>
          </cell>
          <cell r="R43">
            <v>267079</v>
          </cell>
          <cell r="S43">
            <v>230811.58550811585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</row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F26">
            <v>200</v>
          </cell>
          <cell r="G26">
            <v>0</v>
          </cell>
          <cell r="I26">
            <v>-266821.63</v>
          </cell>
          <cell r="J26">
            <v>0</v>
          </cell>
          <cell r="O26">
            <v>72949</v>
          </cell>
          <cell r="P26">
            <v>0</v>
          </cell>
          <cell r="R26">
            <v>949</v>
          </cell>
          <cell r="S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4">
          <cell r="F34">
            <v>0</v>
          </cell>
          <cell r="G34">
            <v>0</v>
          </cell>
          <cell r="I34">
            <v>0</v>
          </cell>
          <cell r="J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</sheetData>
      <sheetData sheetId="11" refreshError="1"/>
      <sheetData sheetId="12" refreshError="1">
        <row r="10">
          <cell r="F10">
            <v>303431.06489881402</v>
          </cell>
          <cell r="G10">
            <v>444986.3627234177</v>
          </cell>
          <cell r="I10">
            <v>2083640.26</v>
          </cell>
          <cell r="J10">
            <v>1281250</v>
          </cell>
          <cell r="O10">
            <v>1085526.9183</v>
          </cell>
          <cell r="P10">
            <v>731497.00800000015</v>
          </cell>
          <cell r="R10">
            <v>17937.453999999998</v>
          </cell>
          <cell r="S10">
            <v>12087.927498533223</v>
          </cell>
        </row>
        <row r="11">
          <cell r="F11">
            <v>64215.397733910431</v>
          </cell>
          <cell r="G11">
            <v>336947.07303282857</v>
          </cell>
          <cell r="I11">
            <v>341196.33</v>
          </cell>
          <cell r="J11">
            <v>522682.6584157825</v>
          </cell>
          <cell r="O11">
            <v>181963.05590000001</v>
          </cell>
          <cell r="P11">
            <v>265920.00000000006</v>
          </cell>
          <cell r="R11">
            <v>471.4307</v>
          </cell>
          <cell r="S11">
            <v>728.54794520547966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F15">
            <v>103980.40258834658</v>
          </cell>
          <cell r="G15">
            <v>195840</v>
          </cell>
          <cell r="I15">
            <v>1015879.8</v>
          </cell>
          <cell r="J15">
            <v>1060107.9855349886</v>
          </cell>
          <cell r="O15">
            <v>33238.35</v>
          </cell>
          <cell r="P15">
            <v>36646</v>
          </cell>
          <cell r="R15">
            <v>377.93379999999996</v>
          </cell>
          <cell r="S15">
            <v>381.02466793168878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F18">
            <v>108361.64880333429</v>
          </cell>
          <cell r="G18">
            <v>280000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22">
          <cell r="F22">
            <v>102833.60650689731</v>
          </cell>
          <cell r="G22">
            <v>147804.42600000004</v>
          </cell>
          <cell r="I22">
            <v>55316.55</v>
          </cell>
          <cell r="J22">
            <v>140284.95000000001</v>
          </cell>
          <cell r="O22">
            <v>5812.2230000000018</v>
          </cell>
          <cell r="P22">
            <v>131412.06000000003</v>
          </cell>
          <cell r="R22">
            <v>390.94929999999999</v>
          </cell>
          <cell r="S22">
            <v>1625.5198057555504</v>
          </cell>
        </row>
        <row r="23">
          <cell r="F23">
            <v>80910.405749154364</v>
          </cell>
          <cell r="G23">
            <v>104965.79359762043</v>
          </cell>
          <cell r="I23">
            <v>267193.89</v>
          </cell>
          <cell r="J23">
            <v>618333.65</v>
          </cell>
          <cell r="O23">
            <v>64552.672200000001</v>
          </cell>
          <cell r="P23">
            <v>262622.52000000008</v>
          </cell>
          <cell r="R23">
            <v>494.01469999999995</v>
          </cell>
          <cell r="S23">
            <v>2777.9418943438268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F27">
            <v>107486.50318217774</v>
          </cell>
          <cell r="G27">
            <v>37236.777320516667</v>
          </cell>
          <cell r="I27">
            <v>124486.58</v>
          </cell>
          <cell r="J27">
            <v>929546.7320111685</v>
          </cell>
          <cell r="O27">
            <v>28661.237400000002</v>
          </cell>
          <cell r="P27">
            <v>253750</v>
          </cell>
          <cell r="R27">
            <v>272.08170000000001</v>
          </cell>
          <cell r="S27">
            <v>3863.8756320948887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F30">
            <v>53847.70053736517</v>
          </cell>
          <cell r="G30">
            <v>120000</v>
          </cell>
          <cell r="I30">
            <v>0</v>
          </cell>
          <cell r="J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4">
          <cell r="F34">
            <v>15297.87</v>
          </cell>
          <cell r="G34">
            <v>45000</v>
          </cell>
          <cell r="I34">
            <v>33200</v>
          </cell>
          <cell r="J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F35">
            <v>394114.65</v>
          </cell>
          <cell r="G35">
            <v>500000</v>
          </cell>
          <cell r="I35">
            <v>0</v>
          </cell>
          <cell r="J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T80"/>
  <sheetViews>
    <sheetView tabSelected="1" view="pageLayout" topLeftCell="C4" zoomScaleNormal="90" workbookViewId="0">
      <selection activeCell="G15" sqref="G15"/>
    </sheetView>
  </sheetViews>
  <sheetFormatPr defaultColWidth="9.1328125" defaultRowHeight="13.15" outlineLevelCol="1" x14ac:dyDescent="0.4"/>
  <cols>
    <col min="1" max="1" customWidth="true" hidden="true" style="1" width="14.1328125" outlineLevel="1" collapsed="false"/>
    <col min="2" max="2" customWidth="true" hidden="true" style="1" width="11.73046875" outlineLevel="1" collapsed="false"/>
    <col min="3" max="3" customWidth="true" style="29" width="38.86328125" collapsed="true"/>
    <col min="4" max="4" customWidth="true" style="29" width="10.0" collapsed="false"/>
    <col min="5" max="5" customWidth="true" style="29" width="3.0" collapsed="false"/>
    <col min="6" max="7" bestFit="true" customWidth="true" style="29" width="12.0" collapsed="false"/>
    <col min="8" max="8" bestFit="true" customWidth="true" style="29" width="11.59765625" collapsed="false"/>
    <col min="9" max="9" bestFit="true" customWidth="true" style="29" width="10.59765625" collapsed="false"/>
    <col min="10" max="10" bestFit="true" customWidth="true" style="29" width="8.59765625" collapsed="false"/>
    <col min="11" max="11" bestFit="true" customWidth="true" style="29" width="11.1328125" collapsed="false"/>
    <col min="12" max="12" bestFit="true" customWidth="true" style="29" width="8.73046875" collapsed="false"/>
    <col min="13" max="13" bestFit="true" customWidth="true" style="29" width="10.59765625" collapsed="false"/>
    <col min="14" max="16" customWidth="true" style="29" width="14.265625" collapsed="false"/>
    <col min="17" max="17" bestFit="true" customWidth="true" style="29" width="10.59765625" collapsed="false"/>
    <col min="18" max="18" customWidth="true" style="29" width="9.1328125" collapsed="false"/>
    <col min="19" max="22" customWidth="true" style="1" width="9.1328125" collapsed="false"/>
    <col min="23" max="16384" style="1" width="9.1328125" collapsed="false"/>
  </cols>
  <sheetData>
    <row r="2" spans="1:20" ht="15.75" customHeight="1" x14ac:dyDescent="0.5">
      <c r="C2" s="243" t="s">
        <v>15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20" ht="15.75" customHeight="1" x14ac:dyDescent="0.5">
      <c r="C3" s="243" t="s">
        <v>88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20" ht="15.75" customHeight="1" x14ac:dyDescent="0.5">
      <c r="C4" s="243" t="s">
        <v>16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20" ht="18" x14ac:dyDescent="0.55000000000000004">
      <c r="C5" s="248" t="s">
        <v>25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7" spans="1:20" x14ac:dyDescent="0.4">
      <c r="C7" s="30"/>
      <c r="D7" s="30"/>
      <c r="E7" s="31"/>
      <c r="F7" s="32"/>
      <c r="G7" s="33" t="s">
        <v>5</v>
      </c>
      <c r="H7" s="32"/>
      <c r="I7" s="31"/>
      <c r="J7" s="32"/>
      <c r="K7" s="33" t="s">
        <v>5</v>
      </c>
      <c r="L7" s="32"/>
      <c r="M7" s="31"/>
      <c r="N7" s="32"/>
      <c r="O7" s="32"/>
      <c r="P7" s="32"/>
      <c r="Q7" s="31"/>
    </row>
    <row r="8" spans="1:20" x14ac:dyDescent="0.4">
      <c r="C8" s="34"/>
      <c r="D8" s="34"/>
      <c r="E8" s="35"/>
      <c r="F8" s="36" t="s">
        <v>2</v>
      </c>
      <c r="G8" s="36" t="s">
        <v>3</v>
      </c>
      <c r="H8" s="36"/>
      <c r="I8" s="37" t="s">
        <v>6</v>
      </c>
      <c r="J8" s="36" t="s">
        <v>2</v>
      </c>
      <c r="K8" s="36" t="s">
        <v>3</v>
      </c>
      <c r="L8" s="36"/>
      <c r="M8" s="37" t="s">
        <v>6</v>
      </c>
      <c r="N8" s="36" t="s">
        <v>2</v>
      </c>
      <c r="O8" s="36" t="s">
        <v>3</v>
      </c>
      <c r="P8" s="36"/>
      <c r="Q8" s="37" t="s">
        <v>6</v>
      </c>
    </row>
    <row r="9" spans="1:20" x14ac:dyDescent="0.4">
      <c r="A9" s="1" t="s">
        <v>26</v>
      </c>
      <c r="B9" s="1" t="s">
        <v>27</v>
      </c>
      <c r="C9" s="233" t="s">
        <v>108</v>
      </c>
      <c r="D9" s="244" t="s">
        <v>10</v>
      </c>
      <c r="E9" s="245"/>
      <c r="F9" s="36" t="s">
        <v>1</v>
      </c>
      <c r="G9" s="36" t="s">
        <v>1</v>
      </c>
      <c r="H9" s="36" t="s">
        <v>4</v>
      </c>
      <c r="I9" s="37" t="s">
        <v>7</v>
      </c>
      <c r="J9" s="36" t="s">
        <v>0</v>
      </c>
      <c r="K9" s="36" t="s">
        <v>0</v>
      </c>
      <c r="L9" s="36" t="s">
        <v>4</v>
      </c>
      <c r="M9" s="37" t="s">
        <v>7</v>
      </c>
      <c r="N9" s="36" t="s">
        <v>8</v>
      </c>
      <c r="O9" s="36" t="s">
        <v>8</v>
      </c>
      <c r="P9" s="38" t="s">
        <v>4</v>
      </c>
      <c r="Q9" s="37" t="s">
        <v>7</v>
      </c>
    </row>
    <row r="10" spans="1:20" s="2" customFormat="1" x14ac:dyDescent="0.4">
      <c r="A10" s="27">
        <v>17802</v>
      </c>
      <c r="B10" s="27" t="s">
        <v>93</v>
      </c>
      <c r="C10" s="30" t="s">
        <v>64</v>
      </c>
      <c r="D10" s="22">
        <v>12467</v>
      </c>
      <c r="E10" s="39"/>
      <c r="F10" s="22">
        <f>IF(A10="",0,INDEX('Elec Actual'!P:P,MATCH(A10,'Elec Actual'!$A:$A,0)))</f>
        <v>3508507</v>
      </c>
      <c r="G10" s="40">
        <v>3811232.1008000067</v>
      </c>
      <c r="H10" s="40">
        <f>G10-F10</f>
        <v>302725.10080000665</v>
      </c>
      <c r="I10" s="41">
        <f>IF(F10&gt;0,H10/F10,0)</f>
        <v>8.6283168538642402E-2</v>
      </c>
      <c r="J10" s="22">
        <f>IF(A10="",0,INDEX('Elec Actual'!S:S,MATCH(A10,'Elec Actual'!$A:$A,0)))</f>
        <v>3239.3390272908819</v>
      </c>
      <c r="K10" s="40">
        <v>2292.9112999999911</v>
      </c>
      <c r="L10" s="40">
        <f>K10-J10</f>
        <v>-946.42772729089074</v>
      </c>
      <c r="M10" s="41">
        <f>IF(J10&gt;0,L10/J10,0)</f>
        <v>-0.29216692643696685</v>
      </c>
      <c r="N10" s="42">
        <f>IF(A10="",0,INDEX('Elec Actual'!M:M,MATCH(A10,'Elec Actual'!$A:$A,0)))</f>
        <v>3408060.2233743765</v>
      </c>
      <c r="O10" s="42">
        <f>IF(A10="",0,INDEX('Elec Actual'!L:L,MATCH(A10,'Elec Actual'!$A:$A,0)))</f>
        <v>2342290.1414881842</v>
      </c>
      <c r="P10" s="43">
        <f t="shared" ref="P10:P11" si="0">O10-N10</f>
        <v>-1065770.0818861923</v>
      </c>
      <c r="Q10" s="41">
        <f t="shared" ref="Q10:Q11" si="1">IF(N10&gt;0,P10/N10,0)</f>
        <v>-0.31272043685629353</v>
      </c>
      <c r="R10" s="3"/>
      <c r="S10" s="11"/>
      <c r="T10" s="3"/>
    </row>
    <row r="11" spans="1:20" s="2" customFormat="1" x14ac:dyDescent="0.4">
      <c r="A11" s="27">
        <v>17808</v>
      </c>
      <c r="B11" s="27" t="s">
        <v>93</v>
      </c>
      <c r="C11" s="34" t="s">
        <v>85</v>
      </c>
      <c r="D11" s="23">
        <v>30140</v>
      </c>
      <c r="E11" s="44"/>
      <c r="F11" s="23">
        <f>IF(A11="",0,INDEX('Elec Actual'!P:P,MATCH(A11,'Elec Actual'!$A:$A,0)))</f>
        <v>5764320</v>
      </c>
      <c r="G11" s="25">
        <v>3718361.2248156946</v>
      </c>
      <c r="H11" s="25">
        <f>G11-F11</f>
        <v>-2045958.7751843054</v>
      </c>
      <c r="I11" s="45">
        <f>IF(F11&gt;0,H11/F11,0)</f>
        <v>-0.35493497501601323</v>
      </c>
      <c r="J11" s="23">
        <f>IF(A11="",0,INDEX('Elec Actual'!S:S,MATCH(A11,'Elec Actual'!$A:$A,0)))</f>
        <v>676.77403811608974</v>
      </c>
      <c r="K11" s="25">
        <v>425.53467947193781</v>
      </c>
      <c r="L11" s="25">
        <f>K11-J11</f>
        <v>-251.23935864415193</v>
      </c>
      <c r="M11" s="45">
        <f>IF(J11&gt;0,L11/J11,0)</f>
        <v>-0.37123078678301169</v>
      </c>
      <c r="N11" s="43">
        <f>IF(A11="",0,INDEX('Elec Actual'!M:M,MATCH(A11,'Elec Actual'!$A:$A,0)))</f>
        <v>972514.24200694973</v>
      </c>
      <c r="O11" s="43">
        <f>IF(A11="",0,INDEX('Elec Actual'!L:L,MATCH(A11,'Elec Actual'!$A:$A,0)))</f>
        <v>951557.86787124514</v>
      </c>
      <c r="P11" s="43">
        <f t="shared" si="0"/>
        <v>-20956.374135704595</v>
      </c>
      <c r="Q11" s="45">
        <f t="shared" si="1"/>
        <v>-2.1548655259235616E-2</v>
      </c>
      <c r="R11" s="3"/>
      <c r="S11" s="11"/>
      <c r="T11" s="3"/>
    </row>
    <row r="12" spans="1:20" s="2" customFormat="1" x14ac:dyDescent="0.4">
      <c r="A12" s="27">
        <v>17860</v>
      </c>
      <c r="B12" s="27" t="s">
        <v>93</v>
      </c>
      <c r="C12" s="34" t="s">
        <v>66</v>
      </c>
      <c r="D12" s="23">
        <v>315558</v>
      </c>
      <c r="E12" s="44"/>
      <c r="F12" s="23">
        <f>IF(A12="",0,INDEX('Elec Actual'!P:P,MATCH(A12,'Elec Actual'!$A:$A,0)))</f>
        <v>29499800</v>
      </c>
      <c r="G12" s="25">
        <v>27699062.899999999</v>
      </c>
      <c r="H12" s="25">
        <f t="shared" ref="H12:H27" si="2">G12-F12</f>
        <v>-1800737.1000000015</v>
      </c>
      <c r="I12" s="45">
        <f t="shared" ref="I12:I27" si="3">IF(F12&gt;0,H12/F12,0)</f>
        <v>-6.1042349439657272E-2</v>
      </c>
      <c r="J12" s="23">
        <f>IF(A12="",0,INDEX('Elec Actual'!S:S,MATCH(A12,'Elec Actual'!$A:$A,0)))</f>
        <v>9599.6495941435878</v>
      </c>
      <c r="K12" s="25">
        <v>9122.8799999999992</v>
      </c>
      <c r="L12" s="25">
        <f t="shared" ref="L12:L27" si="4">K12-J12</f>
        <v>-476.76959414358862</v>
      </c>
      <c r="M12" s="45">
        <f t="shared" ref="M12:M27" si="5">IF(J12&gt;0,L12/J12,0)</f>
        <v>-4.9665312204150575E-2</v>
      </c>
      <c r="N12" s="43">
        <f>IF(A12="",0,INDEX('Elec Actual'!M:M,MATCH(A12,'Elec Actual'!$A:$A,0)))</f>
        <v>1498000</v>
      </c>
      <c r="O12" s="43">
        <f>IF(A12="",0,INDEX('Elec Actual'!L:L,MATCH(A12,'Elec Actual'!$A:$A,0)))</f>
        <v>915653.52337073942</v>
      </c>
      <c r="P12" s="43">
        <f>O12-N12</f>
        <v>-582346.47662926058</v>
      </c>
      <c r="Q12" s="45">
        <f>IF(N12&gt;0,P12/N12,0)</f>
        <v>-0.38874931684196301</v>
      </c>
      <c r="R12" s="3"/>
      <c r="S12" s="11"/>
      <c r="T12" s="3"/>
    </row>
    <row r="13" spans="1:20" s="2" customFormat="1" x14ac:dyDescent="0.4">
      <c r="A13" s="27">
        <v>17857</v>
      </c>
      <c r="B13" s="27" t="s">
        <v>93</v>
      </c>
      <c r="C13" s="34" t="s">
        <v>65</v>
      </c>
      <c r="D13" s="23">
        <v>2875</v>
      </c>
      <c r="E13" s="44"/>
      <c r="F13" s="23">
        <f>IF(A13="",0,INDEX('Elec Actual'!P:P,MATCH(A13,'Elec Actual'!$A:$A,0)))</f>
        <v>5256114.5999999978</v>
      </c>
      <c r="G13" s="25">
        <v>2552728.3200000999</v>
      </c>
      <c r="H13" s="25">
        <f t="shared" si="2"/>
        <v>-2703386.2799998978</v>
      </c>
      <c r="I13" s="45">
        <f t="shared" si="3"/>
        <v>-0.51433168523378447</v>
      </c>
      <c r="J13" s="23">
        <f>IF(A13="",0,INDEX('Elec Actual'!S:S,MATCH(A13,'Elec Actual'!$A:$A,0)))</f>
        <v>731.56483433232415</v>
      </c>
      <c r="K13" s="25">
        <v>353.86460000000579</v>
      </c>
      <c r="L13" s="25">
        <f t="shared" si="4"/>
        <v>-377.70023433231836</v>
      </c>
      <c r="M13" s="45">
        <f t="shared" si="5"/>
        <v>-0.51629085572030442</v>
      </c>
      <c r="N13" s="43">
        <f>IF(A13="",0,INDEX('Elec Actual'!M:M,MATCH(A13,'Elec Actual'!$A:$A,0)))</f>
        <v>1082836.2336634682</v>
      </c>
      <c r="O13" s="43">
        <f>IF(A13="",0,INDEX('Elec Actual'!L:L,MATCH(A13,'Elec Actual'!$A:$A,0)))</f>
        <v>565709.27252408047</v>
      </c>
      <c r="P13" s="43">
        <f>O13-N13</f>
        <v>-517126.96113938768</v>
      </c>
      <c r="Q13" s="45">
        <f>IF(N13&gt;0,P13/N13,0)</f>
        <v>-0.47756710115788775</v>
      </c>
      <c r="R13" s="3"/>
      <c r="S13" s="11"/>
      <c r="T13" s="3"/>
    </row>
    <row r="14" spans="1:20" s="2" customFormat="1" x14ac:dyDescent="0.4">
      <c r="A14" s="27">
        <v>17839</v>
      </c>
      <c r="B14" s="27" t="s">
        <v>93</v>
      </c>
      <c r="C14" s="34" t="s">
        <v>69</v>
      </c>
      <c r="D14" s="23">
        <v>39927</v>
      </c>
      <c r="E14" s="44"/>
      <c r="F14" s="23">
        <f>IF(A14="",0,INDEX('Elec Actual'!P:P,MATCH(A14,'Elec Actual'!$A:$A,0)))</f>
        <v>72662.74000000002</v>
      </c>
      <c r="G14" s="25">
        <v>477631.07</v>
      </c>
      <c r="H14" s="25">
        <f t="shared" si="2"/>
        <v>404968.32999999996</v>
      </c>
      <c r="I14" s="45">
        <f t="shared" si="3"/>
        <v>5.5732598302789</v>
      </c>
      <c r="J14" s="23">
        <f>IF(A14="",0,INDEX('Elec Actual'!S:S,MATCH(A14,'Elec Actual'!$A:$A,0)))</f>
        <v>28.329348816029146</v>
      </c>
      <c r="K14" s="25">
        <v>76.017299999999906</v>
      </c>
      <c r="L14" s="25">
        <f t="shared" si="4"/>
        <v>47.68795118397076</v>
      </c>
      <c r="M14" s="45">
        <f t="shared" si="5"/>
        <v>1.683340887701176</v>
      </c>
      <c r="N14" s="43">
        <f>IF(A14="",0,INDEX('Elec Actual'!M:M,MATCH(A14,'Elec Actual'!$A:$A,0)))</f>
        <v>732560.84997153142</v>
      </c>
      <c r="O14" s="43">
        <f>IF(A14="",0,INDEX('Elec Actual'!L:L,MATCH(A14,'Elec Actual'!$A:$A,0)))</f>
        <v>526446.55852151057</v>
      </c>
      <c r="P14" s="43">
        <f t="shared" ref="P14:P27" si="6">O14-N14</f>
        <v>-206114.29145002086</v>
      </c>
      <c r="Q14" s="45">
        <f t="shared" ref="Q14:Q27" si="7">IF(N14&gt;0,P14/N14,0)</f>
        <v>-0.28136132508040912</v>
      </c>
      <c r="R14" s="3"/>
      <c r="S14" s="11"/>
      <c r="T14" s="3"/>
    </row>
    <row r="15" spans="1:20" s="2" customFormat="1" x14ac:dyDescent="0.4">
      <c r="A15" s="27">
        <v>17849</v>
      </c>
      <c r="B15" s="27" t="s">
        <v>93</v>
      </c>
      <c r="C15" s="34" t="s">
        <v>89</v>
      </c>
      <c r="D15" s="23">
        <v>0</v>
      </c>
      <c r="E15" s="44"/>
      <c r="F15" s="23">
        <f>IF(A15="",0,INDEX('Elec Actual'!P:P,MATCH(A15,'Elec Actual'!$A:$A,0)))</f>
        <v>0</v>
      </c>
      <c r="G15" s="25">
        <v>0</v>
      </c>
      <c r="H15" s="25">
        <f t="shared" si="2"/>
        <v>0</v>
      </c>
      <c r="I15" s="45">
        <f t="shared" si="3"/>
        <v>0</v>
      </c>
      <c r="J15" s="23">
        <f>IF(A15="",0,INDEX('Elec Actual'!S:S,MATCH(A15,'Elec Actual'!$A:$A,0)))</f>
        <v>0</v>
      </c>
      <c r="K15" s="25">
        <v>0</v>
      </c>
      <c r="L15" s="25">
        <f t="shared" si="4"/>
        <v>0</v>
      </c>
      <c r="M15" s="45">
        <f t="shared" si="5"/>
        <v>0</v>
      </c>
      <c r="N15" s="43">
        <f>IF(A15="",0,INDEX('Elec Actual'!M:M,MATCH(A15,'Elec Actual'!$A:$A,0)))</f>
        <v>180000</v>
      </c>
      <c r="O15" s="43">
        <f>IF(A15="",0,INDEX('Elec Actual'!L:L,MATCH(A15,'Elec Actual'!$A:$A,0)))</f>
        <v>81792.705755231858</v>
      </c>
      <c r="P15" s="43">
        <f t="shared" si="6"/>
        <v>-98207.294244768142</v>
      </c>
      <c r="Q15" s="45">
        <f t="shared" si="7"/>
        <v>-0.54559607913760078</v>
      </c>
      <c r="R15" s="3"/>
      <c r="S15" s="11"/>
      <c r="T15" s="3"/>
    </row>
    <row r="16" spans="1:20" s="2" customFormat="1" x14ac:dyDescent="0.4">
      <c r="A16" s="27">
        <v>17805</v>
      </c>
      <c r="B16" s="27" t="s">
        <v>94</v>
      </c>
      <c r="C16" s="34" t="s">
        <v>67</v>
      </c>
      <c r="D16" s="23">
        <v>88865</v>
      </c>
      <c r="E16" s="44"/>
      <c r="F16" s="23">
        <f>IF(A16="",0,INDEX('Elec Actual'!P:P,MATCH(A16,'Elec Actual'!$A:$A,0)))</f>
        <v>27344775</v>
      </c>
      <c r="G16" s="25">
        <v>14905117.805799995</v>
      </c>
      <c r="H16" s="25">
        <f t="shared" si="2"/>
        <v>-12439657.194200005</v>
      </c>
      <c r="I16" s="45">
        <f t="shared" si="3"/>
        <v>-0.45491898156777688</v>
      </c>
      <c r="J16" s="23">
        <f>IF(A16="",0,INDEX('Elec Actual'!S:S,MATCH(A16,'Elec Actual'!$A:$A,0)))</f>
        <v>9754.1107519129218</v>
      </c>
      <c r="K16" s="25">
        <v>2276.7949000000008</v>
      </c>
      <c r="L16" s="25">
        <f t="shared" si="4"/>
        <v>-7477.3158519129211</v>
      </c>
      <c r="M16" s="45">
        <f t="shared" si="5"/>
        <v>-0.76658098745152259</v>
      </c>
      <c r="N16" s="43">
        <f>IF(A16="",0,INDEX('Elec Actual'!M:M,MATCH(A16,'Elec Actual'!$A:$A,0)))</f>
        <v>5652893.1785321385</v>
      </c>
      <c r="O16" s="43">
        <f>IF(A16="",0,INDEX('Elec Actual'!L:L,MATCH(A16,'Elec Actual'!$A:$A,0)))</f>
        <v>2647813.2455380084</v>
      </c>
      <c r="P16" s="43">
        <f t="shared" si="6"/>
        <v>-3005079.9329941301</v>
      </c>
      <c r="Q16" s="45">
        <f t="shared" si="7"/>
        <v>-0.53160033952285757</v>
      </c>
      <c r="R16" s="3"/>
      <c r="S16" s="11"/>
      <c r="T16" s="3"/>
    </row>
    <row r="17" spans="1:20" s="2" customFormat="1" x14ac:dyDescent="0.4">
      <c r="A17" s="27">
        <v>17817</v>
      </c>
      <c r="B17" s="27" t="s">
        <v>94</v>
      </c>
      <c r="C17" s="34" t="s">
        <v>77</v>
      </c>
      <c r="D17" s="23">
        <v>6666</v>
      </c>
      <c r="E17" s="46"/>
      <c r="F17" s="23">
        <f>IF(A17="",0,INDEX('Elec Actual'!P:P,MATCH(A17,'Elec Actual'!$A:$A,0)))</f>
        <v>62907760</v>
      </c>
      <c r="G17" s="25">
        <v>18476695.814099997</v>
      </c>
      <c r="H17" s="25">
        <f t="shared" si="2"/>
        <v>-44431064.185900003</v>
      </c>
      <c r="I17" s="45">
        <f t="shared" si="3"/>
        <v>-0.70628908398423351</v>
      </c>
      <c r="J17" s="23">
        <f>IF(A17="",0,INDEX('Elec Actual'!S:S,MATCH(A17,'Elec Actual'!$A:$A,0)))</f>
        <v>12317.560998987527</v>
      </c>
      <c r="K17" s="25">
        <v>2867.9380999999994</v>
      </c>
      <c r="L17" s="25">
        <f t="shared" si="4"/>
        <v>-9449.6228989875272</v>
      </c>
      <c r="M17" s="45">
        <f t="shared" si="5"/>
        <v>-0.76716672235390293</v>
      </c>
      <c r="N17" s="43">
        <f>IF(A17="",0,INDEX('Elec Actual'!M:M,MATCH(A17,'Elec Actual'!$A:$A,0)))</f>
        <v>9564685.5980297588</v>
      </c>
      <c r="O17" s="43">
        <f>IF(A17="",0,INDEX('Elec Actual'!L:L,MATCH(A17,'Elec Actual'!$A:$A,0)))</f>
        <v>5780135.5225254297</v>
      </c>
      <c r="P17" s="43">
        <f t="shared" si="6"/>
        <v>-3784550.0755043291</v>
      </c>
      <c r="Q17" s="45">
        <f t="shared" si="7"/>
        <v>-0.395679506316853</v>
      </c>
      <c r="R17" s="3"/>
      <c r="S17" s="11"/>
      <c r="T17" s="3"/>
    </row>
    <row r="18" spans="1:20" s="2" customFormat="1" x14ac:dyDescent="0.4">
      <c r="A18" s="27">
        <v>17804</v>
      </c>
      <c r="B18" s="27" t="s">
        <v>94</v>
      </c>
      <c r="C18" s="34" t="s">
        <v>68</v>
      </c>
      <c r="D18" s="23">
        <v>393</v>
      </c>
      <c r="E18" s="44"/>
      <c r="F18" s="23">
        <f>IF(A18="",0,INDEX('Elec Actual'!P:P,MATCH(A18,'Elec Actual'!$A:$A,0)))</f>
        <v>34408092</v>
      </c>
      <c r="G18" s="25">
        <v>42969397</v>
      </c>
      <c r="H18" s="25">
        <f t="shared" si="2"/>
        <v>8561305</v>
      </c>
      <c r="I18" s="45">
        <f t="shared" si="3"/>
        <v>0.24881661557984674</v>
      </c>
      <c r="J18" s="23">
        <f>IF(A18="",0,INDEX('Elec Actual'!S:S,MATCH(A18,'Elec Actual'!$A:$A,0)))</f>
        <v>7369.3515639055222</v>
      </c>
      <c r="K18" s="25">
        <v>17956</v>
      </c>
      <c r="L18" s="25">
        <f t="shared" si="4"/>
        <v>10586.648436094478</v>
      </c>
      <c r="M18" s="45">
        <f t="shared" si="5"/>
        <v>1.4365780142647844</v>
      </c>
      <c r="N18" s="43">
        <f>IF(A18="",0,INDEX('Elec Actual'!M:M,MATCH(A18,'Elec Actual'!$A:$A,0)))</f>
        <v>6549950.0499999998</v>
      </c>
      <c r="O18" s="43">
        <f>IF(A18="",0,INDEX('Elec Actual'!L:L,MATCH(A18,'Elec Actual'!$A:$A,0)))</f>
        <v>5367046.3600800261</v>
      </c>
      <c r="P18" s="43">
        <f t="shared" si="6"/>
        <v>-1182903.6899199737</v>
      </c>
      <c r="Q18" s="45">
        <f t="shared" si="7"/>
        <v>-0.18059736042108807</v>
      </c>
      <c r="R18" s="3"/>
      <c r="S18" s="11"/>
      <c r="T18" s="3"/>
    </row>
    <row r="19" spans="1:20" s="2" customFormat="1" x14ac:dyDescent="0.4">
      <c r="A19" s="27">
        <v>17813</v>
      </c>
      <c r="B19" s="27" t="s">
        <v>94</v>
      </c>
      <c r="C19" s="34" t="s">
        <v>86</v>
      </c>
      <c r="D19" s="23">
        <v>8723</v>
      </c>
      <c r="E19" s="44"/>
      <c r="F19" s="23">
        <f>IF(A19="",0,INDEX('Elec Actual'!P:P,MATCH(A19,'Elec Actual'!$A:$A,0)))</f>
        <v>2521099.6000000006</v>
      </c>
      <c r="G19" s="25">
        <v>543882.66489999997</v>
      </c>
      <c r="H19" s="25">
        <f t="shared" si="2"/>
        <v>-1977216.9351000006</v>
      </c>
      <c r="I19" s="45">
        <f t="shared" si="3"/>
        <v>-0.78426768030108773</v>
      </c>
      <c r="J19" s="23">
        <f>IF(A19="",0,INDEX('Elec Actual'!S:S,MATCH(A19,'Elec Actual'!$A:$A,0)))</f>
        <v>553.30970880307336</v>
      </c>
      <c r="K19" s="25">
        <v>93.291899999999984</v>
      </c>
      <c r="L19" s="25">
        <f t="shared" si="4"/>
        <v>-460.01780880307336</v>
      </c>
      <c r="M19" s="45">
        <f t="shared" si="5"/>
        <v>-0.83139298205735401</v>
      </c>
      <c r="N19" s="43">
        <f>IF(A19="",0,INDEX('Elec Actual'!M:M,MATCH(A19,'Elec Actual'!$A:$A,0)))</f>
        <v>713054.93387278775</v>
      </c>
      <c r="O19" s="43">
        <f>IF(A19="",0,INDEX('Elec Actual'!L:L,MATCH(A19,'Elec Actual'!$A:$A,0)))</f>
        <v>543866.29376588762</v>
      </c>
      <c r="P19" s="43">
        <f t="shared" si="6"/>
        <v>-169188.64010690013</v>
      </c>
      <c r="Q19" s="45">
        <f t="shared" si="7"/>
        <v>-0.23727293939050725</v>
      </c>
      <c r="R19" s="3"/>
      <c r="S19" s="11"/>
      <c r="T19" s="3"/>
    </row>
    <row r="20" spans="1:20" s="2" customFormat="1" x14ac:dyDescent="0.4">
      <c r="A20" s="27">
        <v>17848</v>
      </c>
      <c r="B20" s="27" t="s">
        <v>94</v>
      </c>
      <c r="C20" s="34" t="s">
        <v>90</v>
      </c>
      <c r="D20" s="23">
        <v>0</v>
      </c>
      <c r="E20" s="44"/>
      <c r="F20" s="23">
        <f>IF(A20="",0,INDEX('Elec Actual'!P:P,MATCH(A20,'Elec Actual'!$A:$A,0)))</f>
        <v>0</v>
      </c>
      <c r="G20" s="25">
        <v>0</v>
      </c>
      <c r="H20" s="25">
        <f t="shared" si="2"/>
        <v>0</v>
      </c>
      <c r="I20" s="45">
        <f t="shared" si="3"/>
        <v>0</v>
      </c>
      <c r="J20" s="23">
        <f>IF(A20="",0,INDEX('Elec Actual'!S:S,MATCH(A20,'Elec Actual'!$A:$A,0)))</f>
        <v>0</v>
      </c>
      <c r="K20" s="25">
        <v>0</v>
      </c>
      <c r="L20" s="25">
        <f t="shared" si="4"/>
        <v>0</v>
      </c>
      <c r="M20" s="45">
        <f t="shared" si="5"/>
        <v>0</v>
      </c>
      <c r="N20" s="43">
        <f>IF(A20="",0,INDEX('Elec Actual'!M:M,MATCH(A20,'Elec Actual'!$A:$A,0)))</f>
        <v>420000</v>
      </c>
      <c r="O20" s="43">
        <f>IF(A20="",0,INDEX('Elec Actual'!L:L,MATCH(A20,'Elec Actual'!$A:$A,0)))</f>
        <v>256458.57855900328</v>
      </c>
      <c r="P20" s="43">
        <f t="shared" si="6"/>
        <v>-163541.42144099672</v>
      </c>
      <c r="Q20" s="45">
        <f t="shared" si="7"/>
        <v>-0.38938433676427792</v>
      </c>
      <c r="R20" s="3"/>
      <c r="S20" s="11"/>
      <c r="T20" s="3"/>
    </row>
    <row r="21" spans="1:20" s="2" customFormat="1" x14ac:dyDescent="0.4">
      <c r="A21" s="27">
        <v>17838</v>
      </c>
      <c r="B21" s="27" t="s">
        <v>72</v>
      </c>
      <c r="C21" s="34" t="s">
        <v>91</v>
      </c>
      <c r="D21" s="23">
        <v>43</v>
      </c>
      <c r="E21" s="44"/>
      <c r="F21" s="23">
        <f>IF(A21="",0,INDEX('Elec Actual'!P:P,MATCH(A21,'Elec Actual'!$A:$A,0)))</f>
        <v>0</v>
      </c>
      <c r="G21" s="25">
        <v>0</v>
      </c>
      <c r="H21" s="25">
        <f t="shared" si="2"/>
        <v>0</v>
      </c>
      <c r="I21" s="45">
        <f t="shared" si="3"/>
        <v>0</v>
      </c>
      <c r="J21" s="23">
        <f>IF(A21="",0,INDEX('Elec Actual'!S:S,MATCH(A21,'Elec Actual'!$A:$A,0)))</f>
        <v>0</v>
      </c>
      <c r="K21" s="25">
        <v>0</v>
      </c>
      <c r="L21" s="25">
        <f t="shared" si="4"/>
        <v>0</v>
      </c>
      <c r="M21" s="45">
        <f t="shared" si="5"/>
        <v>0</v>
      </c>
      <c r="N21" s="43">
        <f>IF(A21="",0,INDEX('Elec Actual'!M:M,MATCH(A21,'Elec Actual'!$A:$A,0)))</f>
        <v>105000</v>
      </c>
      <c r="O21" s="43">
        <f>IF(A21="",0,INDEX('Elec Actual'!L:L,MATCH(A21,'Elec Actual'!$A:$A,0)))</f>
        <v>111454.62</v>
      </c>
      <c r="P21" s="43">
        <f t="shared" si="6"/>
        <v>6454.6199999999953</v>
      </c>
      <c r="Q21" s="45">
        <f t="shared" si="7"/>
        <v>6.1472571428571383E-2</v>
      </c>
      <c r="R21" s="3"/>
      <c r="S21" s="11"/>
      <c r="T21" s="3"/>
    </row>
    <row r="22" spans="1:20" s="2" customFormat="1" x14ac:dyDescent="0.4">
      <c r="A22" s="27">
        <v>17842</v>
      </c>
      <c r="B22" s="27" t="s">
        <v>72</v>
      </c>
      <c r="C22" s="34" t="s">
        <v>98</v>
      </c>
      <c r="D22" s="23">
        <v>0</v>
      </c>
      <c r="E22" s="44"/>
      <c r="F22" s="23">
        <f>IF(A22="",0,INDEX('Elec Actual'!P:P,MATCH(A22,'Elec Actual'!$A:$A,0)))</f>
        <v>0</v>
      </c>
      <c r="G22" s="25">
        <v>0</v>
      </c>
      <c r="H22" s="25">
        <f t="shared" ref="H22" si="8">G22-F22</f>
        <v>0</v>
      </c>
      <c r="I22" s="45">
        <v>0</v>
      </c>
      <c r="J22" s="23">
        <v>0</v>
      </c>
      <c r="K22" s="25"/>
      <c r="L22" s="25">
        <f t="shared" ref="L22" si="9">K22-J22</f>
        <v>0</v>
      </c>
      <c r="M22" s="45">
        <f t="shared" ref="M22" si="10">IF(J22&gt;0,L22/J22,0)</f>
        <v>0</v>
      </c>
      <c r="N22" s="43">
        <f>IF(A22="",0,INDEX('Elec Actual'!M:M,MATCH(A22,'Elec Actual'!$A:$A,0)))</f>
        <v>1500000</v>
      </c>
      <c r="O22" s="43">
        <f>IF(A22="",0,INDEX('Elec Actual'!L:L,MATCH(A22,'Elec Actual'!$A:$A,0)))</f>
        <v>1798181.55</v>
      </c>
      <c r="P22" s="43">
        <f t="shared" ref="P22" si="11">O22-N22</f>
        <v>298181.55000000005</v>
      </c>
      <c r="Q22" s="45">
        <f t="shared" ref="Q22" si="12">IF(N22&gt;0,P22/N22,0)</f>
        <v>0.19878770000000004</v>
      </c>
      <c r="R22" s="3"/>
      <c r="S22" s="11"/>
      <c r="T22" s="3"/>
    </row>
    <row r="23" spans="1:20" s="2" customFormat="1" hidden="1" x14ac:dyDescent="0.4">
      <c r="A23" s="27"/>
      <c r="B23" s="27" t="s">
        <v>92</v>
      </c>
      <c r="C23" s="34" t="s">
        <v>92</v>
      </c>
      <c r="D23" s="23"/>
      <c r="E23" s="44"/>
      <c r="F23" s="23">
        <f>IF(A23="",0,INDEX('Elec Actual'!P:P,MATCH(A23,'Elec Actual'!$A:$A,0)))</f>
        <v>0</v>
      </c>
      <c r="G23" s="25"/>
      <c r="H23" s="25">
        <f t="shared" si="2"/>
        <v>0</v>
      </c>
      <c r="I23" s="45">
        <f t="shared" si="3"/>
        <v>0</v>
      </c>
      <c r="J23" s="23">
        <f>IF(A23="",0,INDEX('Elec Actual'!S:S,MATCH(A23,'Elec Actual'!$A:$A,0)))</f>
        <v>0</v>
      </c>
      <c r="K23" s="25"/>
      <c r="L23" s="25">
        <f t="shared" si="4"/>
        <v>0</v>
      </c>
      <c r="M23" s="45">
        <f t="shared" si="5"/>
        <v>0</v>
      </c>
      <c r="N23" s="43">
        <f>IF(A23="",0,INDEX('Elec Actual'!M:M,MATCH(A23,'Elec Actual'!$A:$A,0)))</f>
        <v>0</v>
      </c>
      <c r="O23" s="43">
        <f>IF(A23="",0,INDEX('Elec Actual'!L:L,MATCH(A23,'Elec Actual'!$A:$A,0)))</f>
        <v>0</v>
      </c>
      <c r="P23" s="43">
        <f t="shared" si="6"/>
        <v>0</v>
      </c>
      <c r="Q23" s="45">
        <f t="shared" si="7"/>
        <v>0</v>
      </c>
      <c r="R23" s="3"/>
      <c r="S23" s="11"/>
      <c r="T23" s="3"/>
    </row>
    <row r="24" spans="1:20" s="2" customFormat="1" hidden="1" x14ac:dyDescent="0.4">
      <c r="A24" s="27"/>
      <c r="B24" s="27" t="s">
        <v>92</v>
      </c>
      <c r="C24" s="34" t="s">
        <v>92</v>
      </c>
      <c r="D24" s="23"/>
      <c r="E24" s="44"/>
      <c r="F24" s="23">
        <f>IF(A24="",0,INDEX('Elec Actual'!P:P,MATCH(A24,'Elec Actual'!$A:$A,0)))</f>
        <v>0</v>
      </c>
      <c r="G24" s="25"/>
      <c r="H24" s="25">
        <f t="shared" si="2"/>
        <v>0</v>
      </c>
      <c r="I24" s="45">
        <f t="shared" si="3"/>
        <v>0</v>
      </c>
      <c r="J24" s="23">
        <f>IF(A24="",0,INDEX('Elec Actual'!S:S,MATCH(A24,'Elec Actual'!$A:$A,0)))</f>
        <v>0</v>
      </c>
      <c r="K24" s="25"/>
      <c r="L24" s="25">
        <f t="shared" si="4"/>
        <v>0</v>
      </c>
      <c r="M24" s="45">
        <f t="shared" si="5"/>
        <v>0</v>
      </c>
      <c r="N24" s="43">
        <f>IF(A24="",0,INDEX('Elec Actual'!M:M,MATCH(A24,'Elec Actual'!$A:$A,0)))</f>
        <v>0</v>
      </c>
      <c r="O24" s="43">
        <f>IF(A24="",0,INDEX('Elec Actual'!L:L,MATCH(A24,'Elec Actual'!$A:$A,0)))</f>
        <v>0</v>
      </c>
      <c r="P24" s="43">
        <f t="shared" si="6"/>
        <v>0</v>
      </c>
      <c r="Q24" s="45">
        <f t="shared" si="7"/>
        <v>0</v>
      </c>
      <c r="R24" s="3"/>
      <c r="S24" s="11"/>
      <c r="T24" s="3"/>
    </row>
    <row r="25" spans="1:20" s="2" customFormat="1" hidden="1" x14ac:dyDescent="0.4">
      <c r="A25" s="27"/>
      <c r="B25" s="27" t="s">
        <v>92</v>
      </c>
      <c r="C25" s="34" t="s">
        <v>92</v>
      </c>
      <c r="D25" s="23"/>
      <c r="E25" s="44"/>
      <c r="F25" s="23">
        <f>IF(A25="",0,INDEX('Elec Actual'!P:P,MATCH(A25,'Elec Actual'!$A:$A,0)))</f>
        <v>0</v>
      </c>
      <c r="G25" s="25"/>
      <c r="H25" s="25">
        <f t="shared" si="2"/>
        <v>0</v>
      </c>
      <c r="I25" s="45">
        <f t="shared" si="3"/>
        <v>0</v>
      </c>
      <c r="J25" s="23">
        <f>IF(A25="",0,INDEX('Elec Actual'!S:S,MATCH(A25,'Elec Actual'!$A:$A,0)))</f>
        <v>0</v>
      </c>
      <c r="K25" s="25"/>
      <c r="L25" s="25">
        <f t="shared" si="4"/>
        <v>0</v>
      </c>
      <c r="M25" s="45">
        <f t="shared" si="5"/>
        <v>0</v>
      </c>
      <c r="N25" s="43">
        <f>IF(A25="",0,INDEX('Elec Actual'!M:M,MATCH(A25,'Elec Actual'!$A:$A,0)))</f>
        <v>0</v>
      </c>
      <c r="O25" s="43">
        <f>IF(A25="",0,INDEX('Elec Actual'!L:L,MATCH(A25,'Elec Actual'!$A:$A,0)))</f>
        <v>0</v>
      </c>
      <c r="P25" s="43">
        <f t="shared" si="6"/>
        <v>0</v>
      </c>
      <c r="Q25" s="45">
        <f t="shared" si="7"/>
        <v>0</v>
      </c>
      <c r="R25" s="3"/>
      <c r="S25" s="10"/>
      <c r="T25" s="5"/>
    </row>
    <row r="26" spans="1:20" s="2" customFormat="1" hidden="1" x14ac:dyDescent="0.4">
      <c r="A26" s="27"/>
      <c r="B26" s="27" t="s">
        <v>92</v>
      </c>
      <c r="C26" s="34" t="s">
        <v>92</v>
      </c>
      <c r="D26" s="23"/>
      <c r="E26" s="44"/>
      <c r="F26" s="23">
        <f>IF(A26="",0,INDEX('Elec Actual'!P:P,MATCH(A26,'Elec Actual'!$A:$A,0)))</f>
        <v>0</v>
      </c>
      <c r="G26" s="25"/>
      <c r="H26" s="25">
        <f t="shared" si="2"/>
        <v>0</v>
      </c>
      <c r="I26" s="45">
        <f t="shared" si="3"/>
        <v>0</v>
      </c>
      <c r="J26" s="23">
        <f>IF(A26="",0,INDEX('Elec Actual'!S:S,MATCH(A26,'Elec Actual'!$A:$A,0)))</f>
        <v>0</v>
      </c>
      <c r="K26" s="25"/>
      <c r="L26" s="25">
        <f t="shared" si="4"/>
        <v>0</v>
      </c>
      <c r="M26" s="45">
        <f t="shared" si="5"/>
        <v>0</v>
      </c>
      <c r="N26" s="43">
        <f>IF(A26="",0,INDEX('Elec Actual'!M:M,MATCH(A26,'Elec Actual'!$A:$A,0)))</f>
        <v>0</v>
      </c>
      <c r="O26" s="43">
        <f>IF(A26="",0,INDEX('Elec Actual'!L:L,MATCH(A26,'Elec Actual'!$A:$A,0)))</f>
        <v>0</v>
      </c>
      <c r="P26" s="43">
        <f t="shared" si="6"/>
        <v>0</v>
      </c>
      <c r="Q26" s="45">
        <f t="shared" si="7"/>
        <v>0</v>
      </c>
      <c r="R26" s="3"/>
      <c r="T26" s="5"/>
    </row>
    <row r="27" spans="1:20" s="2" customFormat="1" hidden="1" x14ac:dyDescent="0.4">
      <c r="A27" s="27"/>
      <c r="B27" s="27" t="s">
        <v>92</v>
      </c>
      <c r="C27" s="34" t="s">
        <v>92</v>
      </c>
      <c r="D27" s="23"/>
      <c r="E27" s="44"/>
      <c r="F27" s="23">
        <f>IF(A27="",0,INDEX('Elec Actual'!P:P,MATCH(A27,'Elec Actual'!$A:$A,0)))</f>
        <v>0</v>
      </c>
      <c r="G27" s="25"/>
      <c r="H27" s="25">
        <f t="shared" si="2"/>
        <v>0</v>
      </c>
      <c r="I27" s="45">
        <f t="shared" si="3"/>
        <v>0</v>
      </c>
      <c r="J27" s="23">
        <f>IF(A27="",0,INDEX('Elec Actual'!S:S,MATCH(A27,'Elec Actual'!$A:$A,0)))</f>
        <v>0</v>
      </c>
      <c r="K27" s="25"/>
      <c r="L27" s="25">
        <f t="shared" si="4"/>
        <v>0</v>
      </c>
      <c r="M27" s="45">
        <f t="shared" si="5"/>
        <v>0</v>
      </c>
      <c r="N27" s="43">
        <f>IF(A27="",0,INDEX('Elec Actual'!M:M,MATCH(A27,'Elec Actual'!$A:$A,0)))</f>
        <v>0</v>
      </c>
      <c r="O27" s="43">
        <f>IF(A27="",0,INDEX('Elec Actual'!L:L,MATCH(A27,'Elec Actual'!$A:$A,0)))</f>
        <v>0</v>
      </c>
      <c r="P27" s="43">
        <f t="shared" si="6"/>
        <v>0</v>
      </c>
      <c r="Q27" s="45">
        <f t="shared" si="7"/>
        <v>0</v>
      </c>
      <c r="R27" s="3"/>
      <c r="S27" s="4"/>
      <c r="T27" s="3"/>
    </row>
    <row r="28" spans="1:20" s="2" customFormat="1" hidden="1" x14ac:dyDescent="0.4">
      <c r="A28" s="27"/>
      <c r="B28" s="27" t="s">
        <v>92</v>
      </c>
      <c r="C28" s="34" t="s">
        <v>92</v>
      </c>
      <c r="D28" s="23"/>
      <c r="E28" s="44"/>
      <c r="F28" s="23">
        <f>IF(A28="",0,INDEX('Elec Actual'!P:P,MATCH(A28,'Elec Actual'!$A:$A,0)))</f>
        <v>0</v>
      </c>
      <c r="G28" s="25"/>
      <c r="H28" s="25">
        <f t="shared" ref="H28:H58" si="13">G28-F28</f>
        <v>0</v>
      </c>
      <c r="I28" s="45">
        <f t="shared" ref="I28:I58" si="14">IF(F28&gt;0,H28/F28,0)</f>
        <v>0</v>
      </c>
      <c r="J28" s="23">
        <f>IF(A28="",0,INDEX('Elec Actual'!S:S,MATCH(A28,'Elec Actual'!$A:$A,0)))</f>
        <v>0</v>
      </c>
      <c r="K28" s="25"/>
      <c r="L28" s="25">
        <f t="shared" ref="L28:L58" si="15">K28-J28</f>
        <v>0</v>
      </c>
      <c r="M28" s="45">
        <f t="shared" ref="M28:M58" si="16">IF(J28&gt;0,L28/J28,0)</f>
        <v>0</v>
      </c>
      <c r="N28" s="43">
        <f>IF(A28="",0,INDEX('Elec Actual'!M:M,MATCH(A28,'Elec Actual'!$A:$A,0)))</f>
        <v>0</v>
      </c>
      <c r="O28" s="43">
        <f>IF(A28="",0,INDEX('Elec Actual'!L:L,MATCH(A28,'Elec Actual'!$A:$A,0)))</f>
        <v>0</v>
      </c>
      <c r="P28" s="43">
        <f t="shared" ref="P28:P58" si="17">O28-N28</f>
        <v>0</v>
      </c>
      <c r="Q28" s="45">
        <f t="shared" ref="Q28:Q58" si="18">IF(N28&gt;0,P28/N28,0)</f>
        <v>0</v>
      </c>
      <c r="R28" s="3"/>
      <c r="S28" s="4"/>
      <c r="T28" s="3"/>
    </row>
    <row r="29" spans="1:20" s="2" customFormat="1" hidden="1" x14ac:dyDescent="0.4">
      <c r="A29" s="27"/>
      <c r="B29" s="27" t="s">
        <v>92</v>
      </c>
      <c r="C29" s="34" t="s">
        <v>92</v>
      </c>
      <c r="D29" s="23"/>
      <c r="E29" s="44"/>
      <c r="F29" s="23">
        <f>IF(A29="",0,INDEX('Elec Actual'!P:P,MATCH(A29,'Elec Actual'!$A:$A,0)))</f>
        <v>0</v>
      </c>
      <c r="G29" s="25"/>
      <c r="H29" s="25">
        <f t="shared" si="13"/>
        <v>0</v>
      </c>
      <c r="I29" s="45">
        <f t="shared" si="14"/>
        <v>0</v>
      </c>
      <c r="J29" s="23">
        <f>IF(A29="",0,INDEX('Elec Actual'!S:S,MATCH(A29,'Elec Actual'!$A:$A,0)))</f>
        <v>0</v>
      </c>
      <c r="K29" s="25"/>
      <c r="L29" s="25">
        <f t="shared" si="15"/>
        <v>0</v>
      </c>
      <c r="M29" s="45">
        <f t="shared" si="16"/>
        <v>0</v>
      </c>
      <c r="N29" s="43">
        <f>IF(A29="",0,INDEX('Elec Actual'!M:M,MATCH(A29,'Elec Actual'!$A:$A,0)))</f>
        <v>0</v>
      </c>
      <c r="O29" s="43">
        <f>IF(A29="",0,INDEX('Elec Actual'!L:L,MATCH(A29,'Elec Actual'!$A:$A,0)))</f>
        <v>0</v>
      </c>
      <c r="P29" s="43">
        <f t="shared" si="17"/>
        <v>0</v>
      </c>
      <c r="Q29" s="45">
        <f t="shared" si="18"/>
        <v>0</v>
      </c>
      <c r="R29" s="3"/>
      <c r="S29" s="4"/>
      <c r="T29" s="3"/>
    </row>
    <row r="30" spans="1:20" s="2" customFormat="1" hidden="1" x14ac:dyDescent="0.4">
      <c r="A30" s="27"/>
      <c r="B30" s="27" t="s">
        <v>92</v>
      </c>
      <c r="C30" s="34" t="s">
        <v>92</v>
      </c>
      <c r="D30" s="23"/>
      <c r="E30" s="44"/>
      <c r="F30" s="23">
        <f>IF(A30="",0,INDEX('Elec Actual'!P:P,MATCH(A30,'Elec Actual'!$A:$A,0)))</f>
        <v>0</v>
      </c>
      <c r="G30" s="25"/>
      <c r="H30" s="25">
        <f t="shared" si="13"/>
        <v>0</v>
      </c>
      <c r="I30" s="45">
        <f t="shared" si="14"/>
        <v>0</v>
      </c>
      <c r="J30" s="23">
        <f>IF(A30="",0,INDEX('Elec Actual'!S:S,MATCH(A30,'Elec Actual'!$A:$A,0)))</f>
        <v>0</v>
      </c>
      <c r="K30" s="25"/>
      <c r="L30" s="25">
        <f t="shared" si="15"/>
        <v>0</v>
      </c>
      <c r="M30" s="45">
        <f t="shared" si="16"/>
        <v>0</v>
      </c>
      <c r="N30" s="43">
        <f>IF(A30="",0,INDEX('Elec Actual'!M:M,MATCH(A30,'Elec Actual'!$A:$A,0)))</f>
        <v>0</v>
      </c>
      <c r="O30" s="43">
        <f>IF(A30="",0,INDEX('Elec Actual'!L:L,MATCH(A30,'Elec Actual'!$A:$A,0)))</f>
        <v>0</v>
      </c>
      <c r="P30" s="43">
        <f t="shared" si="17"/>
        <v>0</v>
      </c>
      <c r="Q30" s="45">
        <f t="shared" si="18"/>
        <v>0</v>
      </c>
      <c r="R30" s="3"/>
      <c r="S30" s="4"/>
      <c r="T30" s="3"/>
    </row>
    <row r="31" spans="1:20" s="2" customFormat="1" hidden="1" x14ac:dyDescent="0.4">
      <c r="A31" s="27"/>
      <c r="B31" s="27" t="s">
        <v>92</v>
      </c>
      <c r="C31" s="34" t="s">
        <v>92</v>
      </c>
      <c r="D31" s="23"/>
      <c r="E31" s="44"/>
      <c r="F31" s="23">
        <f>IF(A31="",0,INDEX('Elec Actual'!P:P,MATCH(A31,'Elec Actual'!$A:$A,0)))</f>
        <v>0</v>
      </c>
      <c r="G31" s="25"/>
      <c r="H31" s="25">
        <f t="shared" si="13"/>
        <v>0</v>
      </c>
      <c r="I31" s="45">
        <f t="shared" si="14"/>
        <v>0</v>
      </c>
      <c r="J31" s="23">
        <f>IF(A31="",0,INDEX('Elec Actual'!S:S,MATCH(A31,'Elec Actual'!$A:$A,0)))</f>
        <v>0</v>
      </c>
      <c r="K31" s="25"/>
      <c r="L31" s="25">
        <f t="shared" si="15"/>
        <v>0</v>
      </c>
      <c r="M31" s="45">
        <f t="shared" si="16"/>
        <v>0</v>
      </c>
      <c r="N31" s="43">
        <f>IF(A31="",0,INDEX('Elec Actual'!M:M,MATCH(A31,'Elec Actual'!$A:$A,0)))</f>
        <v>0</v>
      </c>
      <c r="O31" s="43">
        <f>IF(A31="",0,INDEX('Elec Actual'!L:L,MATCH(A31,'Elec Actual'!$A:$A,0)))</f>
        <v>0</v>
      </c>
      <c r="P31" s="43">
        <f t="shared" si="17"/>
        <v>0</v>
      </c>
      <c r="Q31" s="45">
        <f t="shared" si="18"/>
        <v>0</v>
      </c>
      <c r="R31" s="3"/>
      <c r="S31" s="4"/>
      <c r="T31" s="3"/>
    </row>
    <row r="32" spans="1:20" s="2" customFormat="1" hidden="1" x14ac:dyDescent="0.4">
      <c r="A32" s="27"/>
      <c r="B32" s="27" t="s">
        <v>92</v>
      </c>
      <c r="C32" s="34" t="s">
        <v>92</v>
      </c>
      <c r="D32" s="23"/>
      <c r="E32" s="44"/>
      <c r="F32" s="23">
        <f>IF(A32="",0,INDEX('Elec Actual'!P:P,MATCH(A32,'Elec Actual'!$A:$A,0)))</f>
        <v>0</v>
      </c>
      <c r="G32" s="25"/>
      <c r="H32" s="25">
        <f t="shared" si="13"/>
        <v>0</v>
      </c>
      <c r="I32" s="45">
        <f t="shared" si="14"/>
        <v>0</v>
      </c>
      <c r="J32" s="23">
        <f>IF(A32="",0,INDEX('Elec Actual'!S:S,MATCH(A32,'Elec Actual'!$A:$A,0)))</f>
        <v>0</v>
      </c>
      <c r="K32" s="25"/>
      <c r="L32" s="25">
        <f t="shared" si="15"/>
        <v>0</v>
      </c>
      <c r="M32" s="45">
        <f t="shared" si="16"/>
        <v>0</v>
      </c>
      <c r="N32" s="43">
        <f>IF(A32="",0,INDEX('Elec Actual'!M:M,MATCH(A32,'Elec Actual'!$A:$A,0)))</f>
        <v>0</v>
      </c>
      <c r="O32" s="43">
        <f>IF(A32="",0,INDEX('Elec Actual'!L:L,MATCH(A32,'Elec Actual'!$A:$A,0)))</f>
        <v>0</v>
      </c>
      <c r="P32" s="43">
        <f t="shared" si="17"/>
        <v>0</v>
      </c>
      <c r="Q32" s="45">
        <f t="shared" si="18"/>
        <v>0</v>
      </c>
      <c r="R32" s="3"/>
      <c r="S32" s="4"/>
      <c r="T32" s="3"/>
    </row>
    <row r="33" spans="1:20" s="2" customFormat="1" hidden="1" x14ac:dyDescent="0.4">
      <c r="A33" s="27"/>
      <c r="B33" s="27" t="s">
        <v>92</v>
      </c>
      <c r="C33" s="34" t="s">
        <v>92</v>
      </c>
      <c r="D33" s="23"/>
      <c r="E33" s="44"/>
      <c r="F33" s="23">
        <f>IF(A33="",0,INDEX('Elec Actual'!P:P,MATCH(A33,'Elec Actual'!$A:$A,0)))</f>
        <v>0</v>
      </c>
      <c r="G33" s="25"/>
      <c r="H33" s="25">
        <f t="shared" si="13"/>
        <v>0</v>
      </c>
      <c r="I33" s="45">
        <f t="shared" si="14"/>
        <v>0</v>
      </c>
      <c r="J33" s="23">
        <f>IF(A33="",0,INDEX('Elec Actual'!S:S,MATCH(A33,'Elec Actual'!$A:$A,0)))</f>
        <v>0</v>
      </c>
      <c r="K33" s="25"/>
      <c r="L33" s="25">
        <f t="shared" si="15"/>
        <v>0</v>
      </c>
      <c r="M33" s="45">
        <f t="shared" si="16"/>
        <v>0</v>
      </c>
      <c r="N33" s="43">
        <f>IF(A33="",0,INDEX('Elec Actual'!M:M,MATCH(A33,'Elec Actual'!$A:$A,0)))</f>
        <v>0</v>
      </c>
      <c r="O33" s="43">
        <f>IF(A33="",0,INDEX('Elec Actual'!L:L,MATCH(A33,'Elec Actual'!$A:$A,0)))</f>
        <v>0</v>
      </c>
      <c r="P33" s="43">
        <f t="shared" si="17"/>
        <v>0</v>
      </c>
      <c r="Q33" s="45">
        <f t="shared" si="18"/>
        <v>0</v>
      </c>
      <c r="R33" s="3"/>
      <c r="S33" s="4"/>
      <c r="T33" s="3"/>
    </row>
    <row r="34" spans="1:20" s="2" customFormat="1" hidden="1" x14ac:dyDescent="0.4">
      <c r="A34" s="27"/>
      <c r="B34" s="27" t="s">
        <v>92</v>
      </c>
      <c r="C34" s="34" t="s">
        <v>92</v>
      </c>
      <c r="D34" s="23"/>
      <c r="E34" s="44"/>
      <c r="F34" s="23">
        <f>IF(A34="",0,INDEX('Elec Actual'!P:P,MATCH(A34,'Elec Actual'!$A:$A,0)))</f>
        <v>0</v>
      </c>
      <c r="G34" s="25"/>
      <c r="H34" s="25">
        <f t="shared" si="13"/>
        <v>0</v>
      </c>
      <c r="I34" s="45">
        <f t="shared" si="14"/>
        <v>0</v>
      </c>
      <c r="J34" s="23">
        <f>IF(A34="",0,INDEX('Elec Actual'!S:S,MATCH(A34,'Elec Actual'!$A:$A,0)))</f>
        <v>0</v>
      </c>
      <c r="K34" s="25"/>
      <c r="L34" s="25">
        <f t="shared" si="15"/>
        <v>0</v>
      </c>
      <c r="M34" s="45">
        <f t="shared" si="16"/>
        <v>0</v>
      </c>
      <c r="N34" s="43">
        <f>IF(A34="",0,INDEX('Elec Actual'!M:M,MATCH(A34,'Elec Actual'!$A:$A,0)))</f>
        <v>0</v>
      </c>
      <c r="O34" s="43">
        <f>IF(A34="",0,INDEX('Elec Actual'!L:L,MATCH(A34,'Elec Actual'!$A:$A,0)))</f>
        <v>0</v>
      </c>
      <c r="P34" s="43">
        <f t="shared" si="17"/>
        <v>0</v>
      </c>
      <c r="Q34" s="45">
        <f t="shared" si="18"/>
        <v>0</v>
      </c>
      <c r="R34" s="3"/>
      <c r="S34" s="4"/>
      <c r="T34" s="3"/>
    </row>
    <row r="35" spans="1:20" s="2" customFormat="1" hidden="1" x14ac:dyDescent="0.4">
      <c r="A35" s="27"/>
      <c r="B35" s="27" t="s">
        <v>92</v>
      </c>
      <c r="C35" s="34" t="s">
        <v>92</v>
      </c>
      <c r="D35" s="23"/>
      <c r="E35" s="44"/>
      <c r="F35" s="23">
        <f>IF(A35="",0,INDEX('Elec Actual'!P:P,MATCH(A35,'Elec Actual'!$A:$A,0)))</f>
        <v>0</v>
      </c>
      <c r="G35" s="25"/>
      <c r="H35" s="25">
        <f t="shared" si="13"/>
        <v>0</v>
      </c>
      <c r="I35" s="45">
        <f t="shared" si="14"/>
        <v>0</v>
      </c>
      <c r="J35" s="23">
        <f>IF(A35="",0,INDEX('Elec Actual'!S:S,MATCH(A35,'Elec Actual'!$A:$A,0)))</f>
        <v>0</v>
      </c>
      <c r="K35" s="25"/>
      <c r="L35" s="25">
        <f t="shared" si="15"/>
        <v>0</v>
      </c>
      <c r="M35" s="45">
        <f t="shared" si="16"/>
        <v>0</v>
      </c>
      <c r="N35" s="43">
        <f>IF(A35="",0,INDEX('Elec Actual'!M:M,MATCH(A35,'Elec Actual'!$A:$A,0)))</f>
        <v>0</v>
      </c>
      <c r="O35" s="43">
        <f>IF(A35="",0,INDEX('Elec Actual'!L:L,MATCH(A35,'Elec Actual'!$A:$A,0)))</f>
        <v>0</v>
      </c>
      <c r="P35" s="43">
        <f t="shared" si="17"/>
        <v>0</v>
      </c>
      <c r="Q35" s="45">
        <f t="shared" si="18"/>
        <v>0</v>
      </c>
      <c r="R35" s="3"/>
      <c r="S35" s="4"/>
      <c r="T35" s="3"/>
    </row>
    <row r="36" spans="1:20" s="2" customFormat="1" hidden="1" x14ac:dyDescent="0.4">
      <c r="A36" s="27"/>
      <c r="B36" s="27" t="s">
        <v>92</v>
      </c>
      <c r="C36" s="34" t="s">
        <v>92</v>
      </c>
      <c r="D36" s="23"/>
      <c r="E36" s="44"/>
      <c r="F36" s="23">
        <f>IF(A36="",0,INDEX('Elec Actual'!P:P,MATCH(A36,'Elec Actual'!$A:$A,0)))</f>
        <v>0</v>
      </c>
      <c r="G36" s="25"/>
      <c r="H36" s="25">
        <f t="shared" si="13"/>
        <v>0</v>
      </c>
      <c r="I36" s="45">
        <f t="shared" si="14"/>
        <v>0</v>
      </c>
      <c r="J36" s="23">
        <f>IF(A36="",0,INDEX('Elec Actual'!S:S,MATCH(A36,'Elec Actual'!$A:$A,0)))</f>
        <v>0</v>
      </c>
      <c r="K36" s="25"/>
      <c r="L36" s="25">
        <f t="shared" si="15"/>
        <v>0</v>
      </c>
      <c r="M36" s="45">
        <f t="shared" si="16"/>
        <v>0</v>
      </c>
      <c r="N36" s="43">
        <f>IF(A36="",0,INDEX('Elec Actual'!M:M,MATCH(A36,'Elec Actual'!$A:$A,0)))</f>
        <v>0</v>
      </c>
      <c r="O36" s="43">
        <f>IF(A36="",0,INDEX('Elec Actual'!L:L,MATCH(A36,'Elec Actual'!$A:$A,0)))</f>
        <v>0</v>
      </c>
      <c r="P36" s="43">
        <f t="shared" si="17"/>
        <v>0</v>
      </c>
      <c r="Q36" s="45">
        <f t="shared" si="18"/>
        <v>0</v>
      </c>
      <c r="R36" s="3"/>
      <c r="S36" s="4"/>
      <c r="T36" s="3"/>
    </row>
    <row r="37" spans="1:20" s="2" customFormat="1" hidden="1" x14ac:dyDescent="0.4">
      <c r="A37" s="27"/>
      <c r="B37" s="27" t="s">
        <v>92</v>
      </c>
      <c r="C37" s="34" t="s">
        <v>92</v>
      </c>
      <c r="D37" s="23"/>
      <c r="E37" s="44"/>
      <c r="F37" s="23">
        <f>IF(A37="",0,INDEX('Elec Actual'!P:P,MATCH(A37,'Elec Actual'!$A:$A,0)))</f>
        <v>0</v>
      </c>
      <c r="G37" s="25"/>
      <c r="H37" s="25">
        <f t="shared" si="13"/>
        <v>0</v>
      </c>
      <c r="I37" s="45">
        <f t="shared" si="14"/>
        <v>0</v>
      </c>
      <c r="J37" s="23">
        <f>IF(A37="",0,INDEX('Elec Actual'!S:S,MATCH(A37,'Elec Actual'!$A:$A,0)))</f>
        <v>0</v>
      </c>
      <c r="K37" s="25"/>
      <c r="L37" s="25">
        <f t="shared" si="15"/>
        <v>0</v>
      </c>
      <c r="M37" s="45">
        <f t="shared" si="16"/>
        <v>0</v>
      </c>
      <c r="N37" s="43">
        <f>IF(A37="",0,INDEX('Elec Actual'!M:M,MATCH(A37,'Elec Actual'!$A:$A,0)))</f>
        <v>0</v>
      </c>
      <c r="O37" s="43">
        <f>IF(A37="",0,INDEX('Elec Actual'!L:L,MATCH(A37,'Elec Actual'!$A:$A,0)))</f>
        <v>0</v>
      </c>
      <c r="P37" s="43">
        <f t="shared" si="17"/>
        <v>0</v>
      </c>
      <c r="Q37" s="45">
        <f t="shared" si="18"/>
        <v>0</v>
      </c>
      <c r="R37" s="3"/>
      <c r="S37" s="4"/>
      <c r="T37" s="3"/>
    </row>
    <row r="38" spans="1:20" s="2" customFormat="1" hidden="1" x14ac:dyDescent="0.4">
      <c r="A38" s="27"/>
      <c r="B38" s="27" t="s">
        <v>92</v>
      </c>
      <c r="C38" s="34" t="s">
        <v>92</v>
      </c>
      <c r="D38" s="23"/>
      <c r="E38" s="44"/>
      <c r="F38" s="23">
        <f>IF(A38="",0,INDEX('Elec Actual'!P:P,MATCH(A38,'Elec Actual'!$A:$A,0)))</f>
        <v>0</v>
      </c>
      <c r="G38" s="25"/>
      <c r="H38" s="25">
        <f t="shared" si="13"/>
        <v>0</v>
      </c>
      <c r="I38" s="45">
        <f t="shared" si="14"/>
        <v>0</v>
      </c>
      <c r="J38" s="23">
        <f>IF(A38="",0,INDEX('Elec Actual'!S:S,MATCH(A38,'Elec Actual'!$A:$A,0)))</f>
        <v>0</v>
      </c>
      <c r="K38" s="25"/>
      <c r="L38" s="25">
        <f t="shared" si="15"/>
        <v>0</v>
      </c>
      <c r="M38" s="45">
        <f t="shared" si="16"/>
        <v>0</v>
      </c>
      <c r="N38" s="43">
        <f>IF(A38="",0,INDEX('Elec Actual'!M:M,MATCH(A38,'Elec Actual'!$A:$A,0)))</f>
        <v>0</v>
      </c>
      <c r="O38" s="43">
        <f>IF(A38="",0,INDEX('Elec Actual'!L:L,MATCH(A38,'Elec Actual'!$A:$A,0)))</f>
        <v>0</v>
      </c>
      <c r="P38" s="43">
        <f t="shared" si="17"/>
        <v>0</v>
      </c>
      <c r="Q38" s="45">
        <f t="shared" si="18"/>
        <v>0</v>
      </c>
      <c r="R38" s="3"/>
      <c r="S38" s="4"/>
      <c r="T38" s="3"/>
    </row>
    <row r="39" spans="1:20" s="2" customFormat="1" hidden="1" x14ac:dyDescent="0.4">
      <c r="A39" s="27"/>
      <c r="B39" s="27" t="s">
        <v>92</v>
      </c>
      <c r="C39" s="34" t="s">
        <v>92</v>
      </c>
      <c r="D39" s="23"/>
      <c r="E39" s="44"/>
      <c r="F39" s="23">
        <f>IF(A39="",0,INDEX('Elec Actual'!P:P,MATCH(A39,'Elec Actual'!$A:$A,0)))</f>
        <v>0</v>
      </c>
      <c r="G39" s="25"/>
      <c r="H39" s="25">
        <f t="shared" si="13"/>
        <v>0</v>
      </c>
      <c r="I39" s="45">
        <f t="shared" si="14"/>
        <v>0</v>
      </c>
      <c r="J39" s="23">
        <f>IF(A39="",0,INDEX('Elec Actual'!S:S,MATCH(A39,'Elec Actual'!$A:$A,0)))</f>
        <v>0</v>
      </c>
      <c r="K39" s="25"/>
      <c r="L39" s="25">
        <f t="shared" si="15"/>
        <v>0</v>
      </c>
      <c r="M39" s="45">
        <f t="shared" si="16"/>
        <v>0</v>
      </c>
      <c r="N39" s="43">
        <f>IF(A39="",0,INDEX('Elec Actual'!M:M,MATCH(A39,'Elec Actual'!$A:$A,0)))</f>
        <v>0</v>
      </c>
      <c r="O39" s="43">
        <f>IF(A39="",0,INDEX('Elec Actual'!L:L,MATCH(A39,'Elec Actual'!$A:$A,0)))</f>
        <v>0</v>
      </c>
      <c r="P39" s="43">
        <f t="shared" si="17"/>
        <v>0</v>
      </c>
      <c r="Q39" s="45">
        <f t="shared" si="18"/>
        <v>0</v>
      </c>
      <c r="R39" s="3"/>
      <c r="S39" s="4"/>
      <c r="T39" s="3"/>
    </row>
    <row r="40" spans="1:20" s="2" customFormat="1" hidden="1" x14ac:dyDescent="0.4">
      <c r="A40" s="27"/>
      <c r="B40" s="27" t="s">
        <v>92</v>
      </c>
      <c r="C40" s="34" t="s">
        <v>92</v>
      </c>
      <c r="D40" s="23"/>
      <c r="E40" s="44"/>
      <c r="F40" s="23">
        <f>IF(A40="",0,INDEX('Elec Actual'!P:P,MATCH(A40,'Elec Actual'!$A:$A,0)))</f>
        <v>0</v>
      </c>
      <c r="G40" s="25"/>
      <c r="H40" s="25">
        <f t="shared" si="13"/>
        <v>0</v>
      </c>
      <c r="I40" s="45">
        <f t="shared" si="14"/>
        <v>0</v>
      </c>
      <c r="J40" s="23">
        <f>IF(A40="",0,INDEX('Elec Actual'!S:S,MATCH(A40,'Elec Actual'!$A:$A,0)))</f>
        <v>0</v>
      </c>
      <c r="K40" s="25"/>
      <c r="L40" s="25">
        <f t="shared" si="15"/>
        <v>0</v>
      </c>
      <c r="M40" s="45">
        <f t="shared" si="16"/>
        <v>0</v>
      </c>
      <c r="N40" s="43">
        <f>IF(A40="",0,INDEX('Elec Actual'!M:M,MATCH(A40,'Elec Actual'!$A:$A,0)))</f>
        <v>0</v>
      </c>
      <c r="O40" s="43">
        <f>IF(A40="",0,INDEX('Elec Actual'!L:L,MATCH(A40,'Elec Actual'!$A:$A,0)))</f>
        <v>0</v>
      </c>
      <c r="P40" s="43">
        <f t="shared" si="17"/>
        <v>0</v>
      </c>
      <c r="Q40" s="45">
        <f t="shared" si="18"/>
        <v>0</v>
      </c>
      <c r="R40" s="3"/>
      <c r="S40" s="4"/>
      <c r="T40" s="3"/>
    </row>
    <row r="41" spans="1:20" s="2" customFormat="1" hidden="1" x14ac:dyDescent="0.4">
      <c r="A41" s="27"/>
      <c r="B41" s="27" t="s">
        <v>92</v>
      </c>
      <c r="C41" s="34" t="s">
        <v>92</v>
      </c>
      <c r="D41" s="23"/>
      <c r="E41" s="44"/>
      <c r="F41" s="23">
        <f>IF(A41="",0,INDEX('Elec Actual'!P:P,MATCH(A41,'Elec Actual'!$A:$A,0)))</f>
        <v>0</v>
      </c>
      <c r="G41" s="25"/>
      <c r="H41" s="25">
        <f t="shared" si="13"/>
        <v>0</v>
      </c>
      <c r="I41" s="45">
        <f t="shared" si="14"/>
        <v>0</v>
      </c>
      <c r="J41" s="23">
        <f>IF(A41="",0,INDEX('Elec Actual'!S:S,MATCH(A41,'Elec Actual'!$A:$A,0)))</f>
        <v>0</v>
      </c>
      <c r="K41" s="25"/>
      <c r="L41" s="25">
        <f t="shared" si="15"/>
        <v>0</v>
      </c>
      <c r="M41" s="45">
        <f t="shared" si="16"/>
        <v>0</v>
      </c>
      <c r="N41" s="43">
        <f>IF(A41="",0,INDEX('Elec Actual'!M:M,MATCH(A41,'Elec Actual'!$A:$A,0)))</f>
        <v>0</v>
      </c>
      <c r="O41" s="43">
        <f>IF(A41="",0,INDEX('Elec Actual'!L:L,MATCH(A41,'Elec Actual'!$A:$A,0)))</f>
        <v>0</v>
      </c>
      <c r="P41" s="43">
        <f t="shared" si="17"/>
        <v>0</v>
      </c>
      <c r="Q41" s="45">
        <f t="shared" si="18"/>
        <v>0</v>
      </c>
      <c r="R41" s="3"/>
      <c r="S41" s="4"/>
      <c r="T41" s="3"/>
    </row>
    <row r="42" spans="1:20" s="2" customFormat="1" hidden="1" x14ac:dyDescent="0.4">
      <c r="A42" s="27"/>
      <c r="B42" s="27" t="s">
        <v>92</v>
      </c>
      <c r="C42" s="34" t="s">
        <v>92</v>
      </c>
      <c r="D42" s="23"/>
      <c r="E42" s="44"/>
      <c r="F42" s="23">
        <f>IF(A42="",0,INDEX('Elec Actual'!P:P,MATCH(A42,'Elec Actual'!$A:$A,0)))</f>
        <v>0</v>
      </c>
      <c r="G42" s="25"/>
      <c r="H42" s="25">
        <f t="shared" si="13"/>
        <v>0</v>
      </c>
      <c r="I42" s="45">
        <f t="shared" si="14"/>
        <v>0</v>
      </c>
      <c r="J42" s="23">
        <f>IF(A42="",0,INDEX('Elec Actual'!S:S,MATCH(A42,'Elec Actual'!$A:$A,0)))</f>
        <v>0</v>
      </c>
      <c r="K42" s="25"/>
      <c r="L42" s="25">
        <f t="shared" si="15"/>
        <v>0</v>
      </c>
      <c r="M42" s="45">
        <f t="shared" si="16"/>
        <v>0</v>
      </c>
      <c r="N42" s="43">
        <f>IF(A42="",0,INDEX('Elec Actual'!M:M,MATCH(A42,'Elec Actual'!$A:$A,0)))</f>
        <v>0</v>
      </c>
      <c r="O42" s="43">
        <f>IF(A42="",0,INDEX('Elec Actual'!L:L,MATCH(A42,'Elec Actual'!$A:$A,0)))</f>
        <v>0</v>
      </c>
      <c r="P42" s="43">
        <f t="shared" si="17"/>
        <v>0</v>
      </c>
      <c r="Q42" s="45">
        <f t="shared" si="18"/>
        <v>0</v>
      </c>
      <c r="R42" s="3"/>
      <c r="S42" s="4"/>
      <c r="T42" s="3"/>
    </row>
    <row r="43" spans="1:20" s="2" customFormat="1" hidden="1" x14ac:dyDescent="0.4">
      <c r="A43" s="27"/>
      <c r="B43" s="27" t="s">
        <v>92</v>
      </c>
      <c r="C43" s="34" t="s">
        <v>92</v>
      </c>
      <c r="D43" s="23"/>
      <c r="E43" s="44"/>
      <c r="F43" s="23">
        <f>IF(A43="",0,INDEX('Elec Actual'!P:P,MATCH(A43,'Elec Actual'!$A:$A,0)))</f>
        <v>0</v>
      </c>
      <c r="G43" s="25"/>
      <c r="H43" s="25">
        <f t="shared" si="13"/>
        <v>0</v>
      </c>
      <c r="I43" s="45">
        <f t="shared" si="14"/>
        <v>0</v>
      </c>
      <c r="J43" s="23">
        <f>IF(A43="",0,INDEX('Elec Actual'!S:S,MATCH(A43,'Elec Actual'!$A:$A,0)))</f>
        <v>0</v>
      </c>
      <c r="K43" s="25"/>
      <c r="L43" s="25">
        <f t="shared" si="15"/>
        <v>0</v>
      </c>
      <c r="M43" s="45">
        <f t="shared" si="16"/>
        <v>0</v>
      </c>
      <c r="N43" s="43">
        <f>IF(A43="",0,INDEX('Elec Actual'!M:M,MATCH(A43,'Elec Actual'!$A:$A,0)))</f>
        <v>0</v>
      </c>
      <c r="O43" s="43">
        <f>IF(A43="",0,INDEX('Elec Actual'!L:L,MATCH(A43,'Elec Actual'!$A:$A,0)))</f>
        <v>0</v>
      </c>
      <c r="P43" s="43">
        <f t="shared" si="17"/>
        <v>0</v>
      </c>
      <c r="Q43" s="45">
        <f t="shared" si="18"/>
        <v>0</v>
      </c>
      <c r="R43" s="3"/>
      <c r="S43" s="4"/>
      <c r="T43" s="3"/>
    </row>
    <row r="44" spans="1:20" s="2" customFormat="1" hidden="1" x14ac:dyDescent="0.4">
      <c r="A44" s="27"/>
      <c r="B44" s="27" t="s">
        <v>92</v>
      </c>
      <c r="C44" s="34" t="s">
        <v>92</v>
      </c>
      <c r="D44" s="23"/>
      <c r="E44" s="44"/>
      <c r="F44" s="23">
        <f>IF(A44="",0,INDEX('Elec Actual'!P:P,MATCH(A44,'Elec Actual'!$A:$A,0)))</f>
        <v>0</v>
      </c>
      <c r="G44" s="25"/>
      <c r="H44" s="25">
        <f t="shared" si="13"/>
        <v>0</v>
      </c>
      <c r="I44" s="45">
        <f t="shared" si="14"/>
        <v>0</v>
      </c>
      <c r="J44" s="23">
        <f>IF(A44="",0,INDEX('Elec Actual'!S:S,MATCH(A44,'Elec Actual'!$A:$A,0)))</f>
        <v>0</v>
      </c>
      <c r="K44" s="25"/>
      <c r="L44" s="25">
        <f t="shared" si="15"/>
        <v>0</v>
      </c>
      <c r="M44" s="45">
        <f t="shared" si="16"/>
        <v>0</v>
      </c>
      <c r="N44" s="43">
        <f>IF(A44="",0,INDEX('Elec Actual'!M:M,MATCH(A44,'Elec Actual'!$A:$A,0)))</f>
        <v>0</v>
      </c>
      <c r="O44" s="43">
        <f>IF(A44="",0,INDEX('Elec Actual'!L:L,MATCH(A44,'Elec Actual'!$A:$A,0)))</f>
        <v>0</v>
      </c>
      <c r="P44" s="43">
        <f t="shared" si="17"/>
        <v>0</v>
      </c>
      <c r="Q44" s="45">
        <f t="shared" si="18"/>
        <v>0</v>
      </c>
      <c r="R44" s="3"/>
      <c r="S44" s="4"/>
      <c r="T44" s="3"/>
    </row>
    <row r="45" spans="1:20" s="2" customFormat="1" hidden="1" x14ac:dyDescent="0.4">
      <c r="A45" s="27"/>
      <c r="B45" s="27" t="s">
        <v>92</v>
      </c>
      <c r="C45" s="34" t="s">
        <v>92</v>
      </c>
      <c r="D45" s="23"/>
      <c r="E45" s="44"/>
      <c r="F45" s="23">
        <f>IF(A45="",0,INDEX('Elec Actual'!P:P,MATCH(A45,'Elec Actual'!$A:$A,0)))</f>
        <v>0</v>
      </c>
      <c r="G45" s="25"/>
      <c r="H45" s="25">
        <f t="shared" si="13"/>
        <v>0</v>
      </c>
      <c r="I45" s="45">
        <f t="shared" si="14"/>
        <v>0</v>
      </c>
      <c r="J45" s="23">
        <f>IF(A45="",0,INDEX('Elec Actual'!S:S,MATCH(A45,'Elec Actual'!$A:$A,0)))</f>
        <v>0</v>
      </c>
      <c r="K45" s="25"/>
      <c r="L45" s="25">
        <f t="shared" si="15"/>
        <v>0</v>
      </c>
      <c r="M45" s="45">
        <f t="shared" si="16"/>
        <v>0</v>
      </c>
      <c r="N45" s="43">
        <f>IF(A45="",0,INDEX('Elec Actual'!M:M,MATCH(A45,'Elec Actual'!$A:$A,0)))</f>
        <v>0</v>
      </c>
      <c r="O45" s="43">
        <f>IF(A45="",0,INDEX('Elec Actual'!L:L,MATCH(A45,'Elec Actual'!$A:$A,0)))</f>
        <v>0</v>
      </c>
      <c r="P45" s="43">
        <f t="shared" si="17"/>
        <v>0</v>
      </c>
      <c r="Q45" s="45">
        <f t="shared" si="18"/>
        <v>0</v>
      </c>
      <c r="R45" s="3"/>
      <c r="S45" s="4"/>
      <c r="T45" s="3"/>
    </row>
    <row r="46" spans="1:20" s="2" customFormat="1" hidden="1" x14ac:dyDescent="0.4">
      <c r="A46" s="27"/>
      <c r="B46" s="27" t="s">
        <v>92</v>
      </c>
      <c r="C46" s="34" t="s">
        <v>92</v>
      </c>
      <c r="D46" s="23"/>
      <c r="E46" s="44"/>
      <c r="F46" s="23">
        <f>IF(A46="",0,INDEX('Elec Actual'!P:P,MATCH(A46,'Elec Actual'!$A:$A,0)))</f>
        <v>0</v>
      </c>
      <c r="G46" s="25"/>
      <c r="H46" s="25">
        <f t="shared" si="13"/>
        <v>0</v>
      </c>
      <c r="I46" s="45">
        <f t="shared" si="14"/>
        <v>0</v>
      </c>
      <c r="J46" s="23">
        <f>IF(A46="",0,INDEX('Elec Actual'!S:S,MATCH(A46,'Elec Actual'!$A:$A,0)))</f>
        <v>0</v>
      </c>
      <c r="K46" s="25"/>
      <c r="L46" s="25">
        <f t="shared" si="15"/>
        <v>0</v>
      </c>
      <c r="M46" s="45">
        <f t="shared" si="16"/>
        <v>0</v>
      </c>
      <c r="N46" s="43">
        <f>IF(A46="",0,INDEX('Elec Actual'!M:M,MATCH(A46,'Elec Actual'!$A:$A,0)))</f>
        <v>0</v>
      </c>
      <c r="O46" s="43">
        <f>IF(A46="",0,INDEX('Elec Actual'!L:L,MATCH(A46,'Elec Actual'!$A:$A,0)))</f>
        <v>0</v>
      </c>
      <c r="P46" s="43">
        <f t="shared" si="17"/>
        <v>0</v>
      </c>
      <c r="Q46" s="45">
        <f t="shared" si="18"/>
        <v>0</v>
      </c>
      <c r="R46" s="3"/>
      <c r="S46" s="4"/>
      <c r="T46" s="3"/>
    </row>
    <row r="47" spans="1:20" s="2" customFormat="1" hidden="1" x14ac:dyDescent="0.4">
      <c r="A47" s="27"/>
      <c r="B47" s="27" t="s">
        <v>92</v>
      </c>
      <c r="C47" s="34" t="s">
        <v>92</v>
      </c>
      <c r="D47" s="23"/>
      <c r="E47" s="44"/>
      <c r="F47" s="23">
        <f>IF(A47="",0,INDEX('Elec Actual'!P:P,MATCH(A47,'Elec Actual'!$A:$A,0)))</f>
        <v>0</v>
      </c>
      <c r="G47" s="25"/>
      <c r="H47" s="25">
        <f t="shared" si="13"/>
        <v>0</v>
      </c>
      <c r="I47" s="45">
        <f t="shared" si="14"/>
        <v>0</v>
      </c>
      <c r="J47" s="23">
        <f>IF(A47="",0,INDEX('Elec Actual'!S:S,MATCH(A47,'Elec Actual'!$A:$A,0)))</f>
        <v>0</v>
      </c>
      <c r="K47" s="25"/>
      <c r="L47" s="25">
        <f t="shared" si="15"/>
        <v>0</v>
      </c>
      <c r="M47" s="45">
        <f t="shared" si="16"/>
        <v>0</v>
      </c>
      <c r="N47" s="43">
        <f>IF(A47="",0,INDEX('Elec Actual'!M:M,MATCH(A47,'Elec Actual'!$A:$A,0)))</f>
        <v>0</v>
      </c>
      <c r="O47" s="43">
        <f>IF(A47="",0,INDEX('Elec Actual'!L:L,MATCH(A47,'Elec Actual'!$A:$A,0)))</f>
        <v>0</v>
      </c>
      <c r="P47" s="43">
        <f t="shared" si="17"/>
        <v>0</v>
      </c>
      <c r="Q47" s="45">
        <f t="shared" si="18"/>
        <v>0</v>
      </c>
      <c r="R47" s="3"/>
      <c r="S47" s="4"/>
      <c r="T47" s="3"/>
    </row>
    <row r="48" spans="1:20" s="2" customFormat="1" hidden="1" x14ac:dyDescent="0.4">
      <c r="A48" s="27"/>
      <c r="B48" s="27" t="s">
        <v>92</v>
      </c>
      <c r="C48" s="34" t="s">
        <v>92</v>
      </c>
      <c r="D48" s="23"/>
      <c r="E48" s="44"/>
      <c r="F48" s="23">
        <f>IF(A48="",0,INDEX('Elec Actual'!P:P,MATCH(A48,'Elec Actual'!$A:$A,0)))</f>
        <v>0</v>
      </c>
      <c r="G48" s="25"/>
      <c r="H48" s="25">
        <f t="shared" si="13"/>
        <v>0</v>
      </c>
      <c r="I48" s="45">
        <f t="shared" si="14"/>
        <v>0</v>
      </c>
      <c r="J48" s="23">
        <f>IF(A48="",0,INDEX('Elec Actual'!S:S,MATCH(A48,'Elec Actual'!$A:$A,0)))</f>
        <v>0</v>
      </c>
      <c r="K48" s="25"/>
      <c r="L48" s="25">
        <f t="shared" si="15"/>
        <v>0</v>
      </c>
      <c r="M48" s="45">
        <f t="shared" si="16"/>
        <v>0</v>
      </c>
      <c r="N48" s="43">
        <f>IF(A48="",0,INDEX('Elec Actual'!M:M,MATCH(A48,'Elec Actual'!$A:$A,0)))</f>
        <v>0</v>
      </c>
      <c r="O48" s="43">
        <f>IF(A48="",0,INDEX('Elec Actual'!L:L,MATCH(A48,'Elec Actual'!$A:$A,0)))</f>
        <v>0</v>
      </c>
      <c r="P48" s="43">
        <f t="shared" si="17"/>
        <v>0</v>
      </c>
      <c r="Q48" s="45">
        <f t="shared" si="18"/>
        <v>0</v>
      </c>
      <c r="R48" s="3"/>
      <c r="S48" s="4"/>
      <c r="T48" s="3"/>
    </row>
    <row r="49" spans="1:20" s="2" customFormat="1" hidden="1" x14ac:dyDescent="0.4">
      <c r="A49" s="27"/>
      <c r="B49" s="27" t="s">
        <v>92</v>
      </c>
      <c r="C49" s="34" t="s">
        <v>92</v>
      </c>
      <c r="D49" s="23"/>
      <c r="E49" s="44"/>
      <c r="F49" s="23">
        <f>IF(A49="",0,INDEX('Elec Actual'!P:P,MATCH(A49,'Elec Actual'!$A:$A,0)))</f>
        <v>0</v>
      </c>
      <c r="G49" s="25"/>
      <c r="H49" s="25">
        <f t="shared" si="13"/>
        <v>0</v>
      </c>
      <c r="I49" s="45">
        <f t="shared" si="14"/>
        <v>0</v>
      </c>
      <c r="J49" s="23">
        <f>IF(A49="",0,INDEX('Elec Actual'!S:S,MATCH(A49,'Elec Actual'!$A:$A,0)))</f>
        <v>0</v>
      </c>
      <c r="K49" s="25"/>
      <c r="L49" s="25">
        <f t="shared" si="15"/>
        <v>0</v>
      </c>
      <c r="M49" s="45">
        <f t="shared" si="16"/>
        <v>0</v>
      </c>
      <c r="N49" s="43">
        <f>IF(A49="",0,INDEX('Elec Actual'!M:M,MATCH(A49,'Elec Actual'!$A:$A,0)))</f>
        <v>0</v>
      </c>
      <c r="O49" s="43">
        <f>IF(A49="",0,INDEX('Elec Actual'!L:L,MATCH(A49,'Elec Actual'!$A:$A,0)))</f>
        <v>0</v>
      </c>
      <c r="P49" s="43">
        <f t="shared" si="17"/>
        <v>0</v>
      </c>
      <c r="Q49" s="45">
        <f t="shared" si="18"/>
        <v>0</v>
      </c>
      <c r="R49" s="3"/>
      <c r="S49" s="4"/>
      <c r="T49" s="3"/>
    </row>
    <row r="50" spans="1:20" s="2" customFormat="1" hidden="1" x14ac:dyDescent="0.4">
      <c r="A50" s="27"/>
      <c r="B50" s="27" t="s">
        <v>92</v>
      </c>
      <c r="C50" s="34" t="s">
        <v>92</v>
      </c>
      <c r="D50" s="23"/>
      <c r="E50" s="44"/>
      <c r="F50" s="23">
        <f>IF(A50="",0,INDEX('Elec Actual'!P:P,MATCH(A50,'Elec Actual'!$A:$A,0)))</f>
        <v>0</v>
      </c>
      <c r="G50" s="25"/>
      <c r="H50" s="25">
        <f t="shared" si="13"/>
        <v>0</v>
      </c>
      <c r="I50" s="45">
        <f t="shared" si="14"/>
        <v>0</v>
      </c>
      <c r="J50" s="23">
        <f>IF(A50="",0,INDEX('Elec Actual'!S:S,MATCH(A50,'Elec Actual'!$A:$A,0)))</f>
        <v>0</v>
      </c>
      <c r="K50" s="25"/>
      <c r="L50" s="25">
        <f t="shared" si="15"/>
        <v>0</v>
      </c>
      <c r="M50" s="45">
        <f t="shared" si="16"/>
        <v>0</v>
      </c>
      <c r="N50" s="43">
        <f>IF(A50="",0,INDEX('Elec Actual'!M:M,MATCH(A50,'Elec Actual'!$A:$A,0)))</f>
        <v>0</v>
      </c>
      <c r="O50" s="43">
        <f>IF(A50="",0,INDEX('Elec Actual'!L:L,MATCH(A50,'Elec Actual'!$A:$A,0)))</f>
        <v>0</v>
      </c>
      <c r="P50" s="43">
        <f t="shared" si="17"/>
        <v>0</v>
      </c>
      <c r="Q50" s="45">
        <f t="shared" si="18"/>
        <v>0</v>
      </c>
      <c r="R50" s="3"/>
      <c r="S50" s="4"/>
      <c r="T50" s="3"/>
    </row>
    <row r="51" spans="1:20" s="2" customFormat="1" hidden="1" x14ac:dyDescent="0.4">
      <c r="A51" s="27"/>
      <c r="B51" s="27" t="s">
        <v>92</v>
      </c>
      <c r="C51" s="34" t="s">
        <v>92</v>
      </c>
      <c r="D51" s="23"/>
      <c r="E51" s="44"/>
      <c r="F51" s="23">
        <f>IF(A51="",0,INDEX('Elec Actual'!P:P,MATCH(A51,'Elec Actual'!$A:$A,0)))</f>
        <v>0</v>
      </c>
      <c r="G51" s="25"/>
      <c r="H51" s="25">
        <f t="shared" si="13"/>
        <v>0</v>
      </c>
      <c r="I51" s="45">
        <f t="shared" si="14"/>
        <v>0</v>
      </c>
      <c r="J51" s="23">
        <f>IF(A51="",0,INDEX('Elec Actual'!S:S,MATCH(A51,'Elec Actual'!$A:$A,0)))</f>
        <v>0</v>
      </c>
      <c r="K51" s="25"/>
      <c r="L51" s="25">
        <f t="shared" si="15"/>
        <v>0</v>
      </c>
      <c r="M51" s="45">
        <f t="shared" si="16"/>
        <v>0</v>
      </c>
      <c r="N51" s="43">
        <f>IF(A51="",0,INDEX('Elec Actual'!M:M,MATCH(A51,'Elec Actual'!$A:$A,0)))</f>
        <v>0</v>
      </c>
      <c r="O51" s="43">
        <f>IF(A51="",0,INDEX('Elec Actual'!L:L,MATCH(A51,'Elec Actual'!$A:$A,0)))</f>
        <v>0</v>
      </c>
      <c r="P51" s="43">
        <f t="shared" si="17"/>
        <v>0</v>
      </c>
      <c r="Q51" s="45">
        <f t="shared" si="18"/>
        <v>0</v>
      </c>
      <c r="R51" s="3"/>
      <c r="S51" s="4"/>
      <c r="T51" s="3"/>
    </row>
    <row r="52" spans="1:20" s="2" customFormat="1" hidden="1" x14ac:dyDescent="0.4">
      <c r="A52" s="27"/>
      <c r="B52" s="27" t="s">
        <v>92</v>
      </c>
      <c r="C52" s="34" t="s">
        <v>92</v>
      </c>
      <c r="D52" s="23"/>
      <c r="E52" s="44"/>
      <c r="F52" s="23">
        <f>IF(A52="",0,INDEX('Elec Actual'!P:P,MATCH(A52,'Elec Actual'!$A:$A,0)))</f>
        <v>0</v>
      </c>
      <c r="G52" s="25"/>
      <c r="H52" s="25">
        <f t="shared" si="13"/>
        <v>0</v>
      </c>
      <c r="I52" s="45">
        <f t="shared" si="14"/>
        <v>0</v>
      </c>
      <c r="J52" s="23">
        <f>IF(A52="",0,INDEX('Elec Actual'!S:S,MATCH(A52,'Elec Actual'!$A:$A,0)))</f>
        <v>0</v>
      </c>
      <c r="K52" s="25"/>
      <c r="L52" s="25">
        <f t="shared" si="15"/>
        <v>0</v>
      </c>
      <c r="M52" s="45">
        <f t="shared" si="16"/>
        <v>0</v>
      </c>
      <c r="N52" s="43">
        <f>IF(A52="",0,INDEX('Elec Actual'!M:M,MATCH(A52,'Elec Actual'!$A:$A,0)))</f>
        <v>0</v>
      </c>
      <c r="O52" s="43">
        <f>IF(A52="",0,INDEX('Elec Actual'!L:L,MATCH(A52,'Elec Actual'!$A:$A,0)))</f>
        <v>0</v>
      </c>
      <c r="P52" s="43">
        <f t="shared" si="17"/>
        <v>0</v>
      </c>
      <c r="Q52" s="45">
        <f t="shared" si="18"/>
        <v>0</v>
      </c>
      <c r="R52" s="3"/>
      <c r="S52" s="4"/>
      <c r="T52" s="3"/>
    </row>
    <row r="53" spans="1:20" s="2" customFormat="1" hidden="1" x14ac:dyDescent="0.4">
      <c r="A53" s="27"/>
      <c r="B53" s="27" t="s">
        <v>92</v>
      </c>
      <c r="C53" s="34" t="s">
        <v>92</v>
      </c>
      <c r="D53" s="23"/>
      <c r="E53" s="44"/>
      <c r="F53" s="23">
        <f>IF(A53="",0,INDEX('Elec Actual'!P:P,MATCH(A53,'Elec Actual'!$A:$A,0)))</f>
        <v>0</v>
      </c>
      <c r="G53" s="25"/>
      <c r="H53" s="25">
        <f t="shared" si="13"/>
        <v>0</v>
      </c>
      <c r="I53" s="45">
        <f t="shared" si="14"/>
        <v>0</v>
      </c>
      <c r="J53" s="23">
        <f>IF(A53="",0,INDEX('Elec Actual'!S:S,MATCH(A53,'Elec Actual'!$A:$A,0)))</f>
        <v>0</v>
      </c>
      <c r="K53" s="25"/>
      <c r="L53" s="25">
        <f t="shared" si="15"/>
        <v>0</v>
      </c>
      <c r="M53" s="45">
        <f t="shared" si="16"/>
        <v>0</v>
      </c>
      <c r="N53" s="43">
        <f>IF(A53="",0,INDEX('Elec Actual'!M:M,MATCH(A53,'Elec Actual'!$A:$A,0)))</f>
        <v>0</v>
      </c>
      <c r="O53" s="43">
        <f>IF(A53="",0,INDEX('Elec Actual'!L:L,MATCH(A53,'Elec Actual'!$A:$A,0)))</f>
        <v>0</v>
      </c>
      <c r="P53" s="43">
        <f t="shared" si="17"/>
        <v>0</v>
      </c>
      <c r="Q53" s="45">
        <f t="shared" si="18"/>
        <v>0</v>
      </c>
      <c r="R53" s="3"/>
      <c r="S53" s="4"/>
      <c r="T53" s="3"/>
    </row>
    <row r="54" spans="1:20" s="2" customFormat="1" hidden="1" x14ac:dyDescent="0.4">
      <c r="A54" s="27"/>
      <c r="B54" s="27" t="s">
        <v>92</v>
      </c>
      <c r="C54" s="34" t="s">
        <v>92</v>
      </c>
      <c r="D54" s="23"/>
      <c r="E54" s="44"/>
      <c r="F54" s="23">
        <f>IF(A54="",0,INDEX('Elec Actual'!P:P,MATCH(A54,'Elec Actual'!$A:$A,0)))</f>
        <v>0</v>
      </c>
      <c r="G54" s="25"/>
      <c r="H54" s="25">
        <f t="shared" si="13"/>
        <v>0</v>
      </c>
      <c r="I54" s="45">
        <f t="shared" si="14"/>
        <v>0</v>
      </c>
      <c r="J54" s="23">
        <f>IF(A54="",0,INDEX('Elec Actual'!S:S,MATCH(A54,'Elec Actual'!$A:$A,0)))</f>
        <v>0</v>
      </c>
      <c r="K54" s="25"/>
      <c r="L54" s="25">
        <f t="shared" si="15"/>
        <v>0</v>
      </c>
      <c r="M54" s="45">
        <f t="shared" si="16"/>
        <v>0</v>
      </c>
      <c r="N54" s="43">
        <f>IF(A54="",0,INDEX('Elec Actual'!M:M,MATCH(A54,'Elec Actual'!$A:$A,0)))</f>
        <v>0</v>
      </c>
      <c r="O54" s="43">
        <f>IF(A54="",0,INDEX('Elec Actual'!L:L,MATCH(A54,'Elec Actual'!$A:$A,0)))</f>
        <v>0</v>
      </c>
      <c r="P54" s="43">
        <f t="shared" si="17"/>
        <v>0</v>
      </c>
      <c r="Q54" s="45">
        <f t="shared" si="18"/>
        <v>0</v>
      </c>
      <c r="R54" s="3"/>
      <c r="S54" s="4"/>
      <c r="T54" s="3"/>
    </row>
    <row r="55" spans="1:20" s="2" customFormat="1" hidden="1" x14ac:dyDescent="0.4">
      <c r="A55" s="27"/>
      <c r="B55" s="27" t="s">
        <v>92</v>
      </c>
      <c r="C55" s="34" t="s">
        <v>92</v>
      </c>
      <c r="D55" s="23"/>
      <c r="E55" s="44"/>
      <c r="F55" s="23">
        <f>IF(A55="",0,INDEX('Elec Actual'!P:P,MATCH(A55,'Elec Actual'!$A:$A,0)))</f>
        <v>0</v>
      </c>
      <c r="G55" s="25"/>
      <c r="H55" s="25">
        <f t="shared" si="13"/>
        <v>0</v>
      </c>
      <c r="I55" s="45">
        <f t="shared" si="14"/>
        <v>0</v>
      </c>
      <c r="J55" s="23">
        <f>IF(A55="",0,INDEX('Elec Actual'!S:S,MATCH(A55,'Elec Actual'!$A:$A,0)))</f>
        <v>0</v>
      </c>
      <c r="K55" s="25"/>
      <c r="L55" s="25">
        <f t="shared" si="15"/>
        <v>0</v>
      </c>
      <c r="M55" s="45">
        <f t="shared" si="16"/>
        <v>0</v>
      </c>
      <c r="N55" s="43">
        <f>IF(A55="",0,INDEX('Elec Actual'!M:M,MATCH(A55,'Elec Actual'!$A:$A,0)))</f>
        <v>0</v>
      </c>
      <c r="O55" s="43">
        <f>IF(A55="",0,INDEX('Elec Actual'!L:L,MATCH(A55,'Elec Actual'!$A:$A,0)))</f>
        <v>0</v>
      </c>
      <c r="P55" s="43">
        <f t="shared" si="17"/>
        <v>0</v>
      </c>
      <c r="Q55" s="45">
        <f t="shared" si="18"/>
        <v>0</v>
      </c>
      <c r="R55" s="3"/>
      <c r="S55" s="4"/>
      <c r="T55" s="3"/>
    </row>
    <row r="56" spans="1:20" s="2" customFormat="1" hidden="1" x14ac:dyDescent="0.4">
      <c r="A56" s="27"/>
      <c r="B56" s="27" t="s">
        <v>92</v>
      </c>
      <c r="C56" s="34" t="s">
        <v>92</v>
      </c>
      <c r="D56" s="23"/>
      <c r="E56" s="44"/>
      <c r="F56" s="23">
        <f>IF(A56="",0,INDEX('Elec Actual'!P:P,MATCH(A56,'Elec Actual'!$A:$A,0)))</f>
        <v>0</v>
      </c>
      <c r="G56" s="25"/>
      <c r="H56" s="25">
        <f t="shared" si="13"/>
        <v>0</v>
      </c>
      <c r="I56" s="45">
        <f t="shared" si="14"/>
        <v>0</v>
      </c>
      <c r="J56" s="23">
        <f>IF(A56="",0,INDEX('Elec Actual'!S:S,MATCH(A56,'Elec Actual'!$A:$A,0)))</f>
        <v>0</v>
      </c>
      <c r="K56" s="25"/>
      <c r="L56" s="25">
        <f t="shared" si="15"/>
        <v>0</v>
      </c>
      <c r="M56" s="45">
        <f t="shared" si="16"/>
        <v>0</v>
      </c>
      <c r="N56" s="43">
        <f>IF(A56="",0,INDEX('Elec Actual'!M:M,MATCH(A56,'Elec Actual'!$A:$A,0)))</f>
        <v>0</v>
      </c>
      <c r="O56" s="43">
        <f>IF(A56="",0,INDEX('Elec Actual'!L:L,MATCH(A56,'Elec Actual'!$A:$A,0)))</f>
        <v>0</v>
      </c>
      <c r="P56" s="43">
        <f t="shared" si="17"/>
        <v>0</v>
      </c>
      <c r="Q56" s="45">
        <f t="shared" si="18"/>
        <v>0</v>
      </c>
      <c r="R56" s="3"/>
      <c r="S56" s="4"/>
      <c r="T56" s="3"/>
    </row>
    <row r="57" spans="1:20" s="2" customFormat="1" hidden="1" x14ac:dyDescent="0.4">
      <c r="A57" s="27"/>
      <c r="B57" s="27" t="s">
        <v>92</v>
      </c>
      <c r="C57" s="34" t="s">
        <v>92</v>
      </c>
      <c r="D57" s="23"/>
      <c r="E57" s="44"/>
      <c r="F57" s="23">
        <f>IF(A57="",0,INDEX('Elec Actual'!P:P,MATCH(A57,'Elec Actual'!$A:$A,0)))</f>
        <v>0</v>
      </c>
      <c r="G57" s="25"/>
      <c r="H57" s="25">
        <f t="shared" si="13"/>
        <v>0</v>
      </c>
      <c r="I57" s="45">
        <f t="shared" si="14"/>
        <v>0</v>
      </c>
      <c r="J57" s="23">
        <f>IF(A57="",0,INDEX('Elec Actual'!S:S,MATCH(A57,'Elec Actual'!$A:$A,0)))</f>
        <v>0</v>
      </c>
      <c r="K57" s="25"/>
      <c r="L57" s="25">
        <f t="shared" si="15"/>
        <v>0</v>
      </c>
      <c r="M57" s="45">
        <f t="shared" si="16"/>
        <v>0</v>
      </c>
      <c r="N57" s="43">
        <f>IF(A57="",0,INDEX('Elec Actual'!M:M,MATCH(A57,'Elec Actual'!$A:$A,0)))</f>
        <v>0</v>
      </c>
      <c r="O57" s="43">
        <f>IF(A57="",0,INDEX('Elec Actual'!L:L,MATCH(A57,'Elec Actual'!$A:$A,0)))</f>
        <v>0</v>
      </c>
      <c r="P57" s="43">
        <f t="shared" si="17"/>
        <v>0</v>
      </c>
      <c r="Q57" s="45">
        <f t="shared" si="18"/>
        <v>0</v>
      </c>
      <c r="R57" s="3"/>
      <c r="S57" s="4"/>
      <c r="T57" s="3"/>
    </row>
    <row r="58" spans="1:20" s="2" customFormat="1" hidden="1" x14ac:dyDescent="0.4">
      <c r="A58" s="27"/>
      <c r="B58" s="27" t="s">
        <v>92</v>
      </c>
      <c r="C58" s="47" t="s">
        <v>92</v>
      </c>
      <c r="D58" s="24"/>
      <c r="E58" s="48"/>
      <c r="F58" s="24">
        <f>IF(A58="",0,INDEX('Elec Actual'!P:P,MATCH(A58,'Elec Actual'!$A:$A,0)))</f>
        <v>0</v>
      </c>
      <c r="G58" s="26"/>
      <c r="H58" s="26">
        <f t="shared" si="13"/>
        <v>0</v>
      </c>
      <c r="I58" s="49">
        <f t="shared" si="14"/>
        <v>0</v>
      </c>
      <c r="J58" s="24">
        <f>IF(A58="",0,INDEX('Elec Actual'!S:S,MATCH(A58,'Elec Actual'!$A:$A,0)))</f>
        <v>0</v>
      </c>
      <c r="K58" s="26"/>
      <c r="L58" s="26">
        <f t="shared" si="15"/>
        <v>0</v>
      </c>
      <c r="M58" s="49">
        <f t="shared" si="16"/>
        <v>0</v>
      </c>
      <c r="N58" s="50">
        <f>IF(A58="",0,INDEX('Elec Actual'!M:M,MATCH(A58,'Elec Actual'!$A:$A,0)))</f>
        <v>0</v>
      </c>
      <c r="O58" s="50">
        <f>IF(A58="",0,INDEX('Elec Actual'!L:L,MATCH(A58,'Elec Actual'!$A:$A,0)))</f>
        <v>0</v>
      </c>
      <c r="P58" s="50">
        <f t="shared" si="17"/>
        <v>0</v>
      </c>
      <c r="Q58" s="49">
        <f t="shared" si="18"/>
        <v>0</v>
      </c>
      <c r="R58" s="3"/>
      <c r="S58" s="4"/>
      <c r="T58" s="3"/>
    </row>
    <row r="59" spans="1:20" s="2" customFormat="1" x14ac:dyDescent="0.4">
      <c r="B59" s="2" t="s">
        <v>92</v>
      </c>
      <c r="C59" s="28" t="s">
        <v>92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3"/>
      <c r="S59" s="4"/>
      <c r="T59" s="3"/>
    </row>
    <row r="60" spans="1:20" x14ac:dyDescent="0.4">
      <c r="C60" s="235" t="s">
        <v>110</v>
      </c>
      <c r="D60" s="51">
        <f>SUM(D10:D58)</f>
        <v>505657</v>
      </c>
      <c r="E60" s="52"/>
      <c r="F60" s="53">
        <f>SUM(F10:F58)</f>
        <v>171283130.94</v>
      </c>
      <c r="G60" s="53">
        <f>SUM(G10:G58)</f>
        <v>115154108.90041579</v>
      </c>
      <c r="H60" s="53">
        <f>SUM(H10:H58)</f>
        <v>-56129022.039584212</v>
      </c>
      <c r="I60" s="54">
        <f>IF(F60&gt;0,H60/F60,0)</f>
        <v>-0.32769731456652351</v>
      </c>
      <c r="J60" s="53">
        <f>SUM(J10:J58)</f>
        <v>44269.989866307958</v>
      </c>
      <c r="K60" s="53">
        <f>SUM(K10:K58)</f>
        <v>35465.232779471931</v>
      </c>
      <c r="L60" s="53">
        <f>SUM(L10:L58)</f>
        <v>-8804.7570868360235</v>
      </c>
      <c r="M60" s="54">
        <f>IF(J60&gt;0,L60/J60,0)</f>
        <v>-0.19888771407957689</v>
      </c>
      <c r="N60" s="55">
        <f>SUM(N10:N58)</f>
        <v>32379555.30945101</v>
      </c>
      <c r="O60" s="55">
        <f>SUM(O10:O58)</f>
        <v>21888406.23999935</v>
      </c>
      <c r="P60" s="55">
        <f>SUM(P10:P58)</f>
        <v>-10491149.069451664</v>
      </c>
      <c r="Q60" s="54">
        <f>IF(N60&gt;0,P60/N60,0)</f>
        <v>-0.32400534748509924</v>
      </c>
      <c r="R60" s="56"/>
    </row>
    <row r="61" spans="1:20" x14ac:dyDescent="0.4">
      <c r="C61" s="68"/>
      <c r="D61" s="25"/>
      <c r="E61" s="25"/>
      <c r="F61" s="25"/>
      <c r="G61" s="25"/>
      <c r="H61" s="25"/>
      <c r="I61" s="232"/>
      <c r="J61" s="25"/>
      <c r="K61" s="25"/>
      <c r="L61" s="25"/>
      <c r="M61" s="232"/>
      <c r="N61" s="43"/>
      <c r="O61" s="43"/>
      <c r="P61" s="43"/>
      <c r="Q61" s="232"/>
      <c r="R61" s="56"/>
    </row>
    <row r="62" spans="1:20" x14ac:dyDescent="0.4">
      <c r="C62" s="236"/>
      <c r="D62" s="236"/>
      <c r="E62" s="83"/>
      <c r="F62" s="84"/>
      <c r="G62" s="82" t="s">
        <v>5</v>
      </c>
      <c r="H62" s="84"/>
      <c r="I62" s="83"/>
      <c r="J62" s="84"/>
      <c r="K62" s="82" t="s">
        <v>5</v>
      </c>
      <c r="L62" s="84"/>
      <c r="M62" s="83"/>
      <c r="N62" s="84"/>
      <c r="O62" s="84"/>
      <c r="P62" s="84"/>
      <c r="Q62" s="83"/>
      <c r="R62" s="6"/>
    </row>
    <row r="63" spans="1:20" x14ac:dyDescent="0.4">
      <c r="C63" s="233"/>
      <c r="D63" s="233"/>
      <c r="E63" s="237"/>
      <c r="F63" s="85" t="s">
        <v>2</v>
      </c>
      <c r="G63" s="85" t="s">
        <v>3</v>
      </c>
      <c r="H63" s="85"/>
      <c r="I63" s="238" t="s">
        <v>6</v>
      </c>
      <c r="J63" s="85" t="s">
        <v>2</v>
      </c>
      <c r="K63" s="85" t="s">
        <v>3</v>
      </c>
      <c r="L63" s="85"/>
      <c r="M63" s="238" t="s">
        <v>6</v>
      </c>
      <c r="N63" s="85" t="s">
        <v>2</v>
      </c>
      <c r="O63" s="85" t="s">
        <v>3</v>
      </c>
      <c r="P63" s="85"/>
      <c r="Q63" s="238" t="s">
        <v>6</v>
      </c>
      <c r="R63" s="6"/>
    </row>
    <row r="64" spans="1:20" x14ac:dyDescent="0.4">
      <c r="A64" s="1" t="s">
        <v>26</v>
      </c>
      <c r="B64" s="1" t="s">
        <v>27</v>
      </c>
      <c r="C64" s="234" t="s">
        <v>104</v>
      </c>
      <c r="D64" s="249" t="s">
        <v>10</v>
      </c>
      <c r="E64" s="250"/>
      <c r="F64" s="86" t="s">
        <v>1</v>
      </c>
      <c r="G64" s="86" t="s">
        <v>1</v>
      </c>
      <c r="H64" s="86" t="s">
        <v>4</v>
      </c>
      <c r="I64" s="87" t="s">
        <v>7</v>
      </c>
      <c r="J64" s="86" t="s">
        <v>0</v>
      </c>
      <c r="K64" s="86" t="s">
        <v>0</v>
      </c>
      <c r="L64" s="86" t="s">
        <v>4</v>
      </c>
      <c r="M64" s="87" t="s">
        <v>7</v>
      </c>
      <c r="N64" s="86" t="s">
        <v>8</v>
      </c>
      <c r="O64" s="86" t="s">
        <v>8</v>
      </c>
      <c r="P64" s="86" t="s">
        <v>4</v>
      </c>
      <c r="Q64" s="87" t="s">
        <v>7</v>
      </c>
      <c r="R64" s="6"/>
    </row>
    <row r="65" spans="1:20" s="2" customFormat="1" x14ac:dyDescent="0.4">
      <c r="A65" s="27">
        <v>17831</v>
      </c>
      <c r="B65" s="27" t="s">
        <v>111</v>
      </c>
      <c r="C65" s="34" t="s">
        <v>87</v>
      </c>
      <c r="D65" s="23">
        <v>64847</v>
      </c>
      <c r="E65" s="44"/>
      <c r="F65" s="23">
        <f>IF(A65="",0,INDEX('Elec Actual'!P:P,MATCH(A65,'Elec Actual'!$A:$A,0)))</f>
        <v>489100</v>
      </c>
      <c r="G65" s="25">
        <v>164889</v>
      </c>
      <c r="H65" s="25">
        <f t="shared" ref="H65:H66" si="19">G65-F65</f>
        <v>-324211</v>
      </c>
      <c r="I65" s="45">
        <f t="shared" ref="I65:I66" si="20">IF(F65&gt;0,H65/F65,0)</f>
        <v>-0.6628726231854426</v>
      </c>
      <c r="J65" s="23">
        <f>IF(A65="",0,INDEX('Elec Actual'!S:S,MATCH(A65,'Elec Actual'!$A:$A,0)))</f>
        <v>42216.69751943725</v>
      </c>
      <c r="K65" s="25">
        <v>45003</v>
      </c>
      <c r="L65" s="25">
        <f t="shared" ref="L65:L66" si="21">K65-J65</f>
        <v>2786.3024805627501</v>
      </c>
      <c r="M65" s="45">
        <f t="shared" ref="M65:M66" si="22">IF(J65&gt;0,L65/J65,0)</f>
        <v>6.6000010523795505E-2</v>
      </c>
      <c r="N65" s="43">
        <f>IF(A65="",0,INDEX('Elec Actual'!M:M,MATCH(A65,'Elec Actual'!$A:$A,0)))</f>
        <v>3284250.6533727366</v>
      </c>
      <c r="O65" s="43">
        <f>IF(A65="",0,INDEX('Elec Actual'!L:L,MATCH(A65,'Elec Actual'!$A:$A,0)))</f>
        <v>3035867.5200006533</v>
      </c>
      <c r="P65" s="43">
        <f t="shared" ref="P65:P66" si="23">O65-N65</f>
        <v>-248383.13337208331</v>
      </c>
      <c r="Q65" s="45">
        <f t="shared" ref="Q65:Q66" si="24">IF(N65&gt;0,P65/N65,0)</f>
        <v>-7.5628555669771461E-2</v>
      </c>
      <c r="R65" s="3"/>
      <c r="S65" s="11"/>
      <c r="T65" s="3"/>
    </row>
    <row r="66" spans="1:20" s="2" customFormat="1" x14ac:dyDescent="0.4">
      <c r="A66" s="27">
        <v>17836</v>
      </c>
      <c r="B66" s="27" t="s">
        <v>111</v>
      </c>
      <c r="C66" s="34" t="s">
        <v>70</v>
      </c>
      <c r="D66" s="23">
        <v>92</v>
      </c>
      <c r="E66" s="44"/>
      <c r="F66" s="23">
        <f>IF(A66="",0,INDEX('Elec Actual'!P:P,MATCH(A66,'Elec Actual'!$A:$A,0)))</f>
        <v>2770016</v>
      </c>
      <c r="G66" s="25">
        <v>612728</v>
      </c>
      <c r="H66" s="25">
        <f t="shared" si="19"/>
        <v>-2157288</v>
      </c>
      <c r="I66" s="45">
        <f t="shared" si="20"/>
        <v>-0.77879983364717031</v>
      </c>
      <c r="J66" s="23">
        <f>IF(A66="",0,INDEX('Elec Actual'!S:S,MATCH(A66,'Elec Actual'!$A:$A,0)))</f>
        <v>230811.58550811585</v>
      </c>
      <c r="K66" s="25">
        <v>267079</v>
      </c>
      <c r="L66" s="25">
        <f t="shared" si="21"/>
        <v>36267.414491884148</v>
      </c>
      <c r="M66" s="45">
        <f t="shared" si="22"/>
        <v>0.15712995693887691</v>
      </c>
      <c r="N66" s="43">
        <f>IF(A66="",0,INDEX('Elec Actual'!M:M,MATCH(A66,'Elec Actual'!$A:$A,0)))</f>
        <v>8651750</v>
      </c>
      <c r="O66" s="43">
        <f>IF(A66="",0,INDEX('Elec Actual'!L:L,MATCH(A66,'Elec Actual'!$A:$A,0)))</f>
        <v>7393922.2999999998</v>
      </c>
      <c r="P66" s="43">
        <f t="shared" si="23"/>
        <v>-1257827.7000000002</v>
      </c>
      <c r="Q66" s="45">
        <f t="shared" si="24"/>
        <v>-0.14538419394920105</v>
      </c>
      <c r="R66" s="3"/>
      <c r="S66" s="11"/>
      <c r="T66" s="3"/>
    </row>
    <row r="67" spans="1:20" x14ac:dyDescent="0.4">
      <c r="C67" s="235" t="s">
        <v>109</v>
      </c>
      <c r="D67" s="51">
        <f>SUM(D65:D66)</f>
        <v>64939</v>
      </c>
      <c r="E67" s="52"/>
      <c r="F67" s="53">
        <f>SUM(F65:F66)</f>
        <v>3259116</v>
      </c>
      <c r="G67" s="53">
        <f>SUM(G65:G66)</f>
        <v>777617</v>
      </c>
      <c r="H67" s="53">
        <f>SUM(H65:H66)</f>
        <v>-2481499</v>
      </c>
      <c r="I67" s="80">
        <f>IF(F67&gt;0,H67/F67,0)</f>
        <v>-0.76140247846348519</v>
      </c>
      <c r="J67" s="53">
        <f>SUM(J65:J66)</f>
        <v>273028.28302755312</v>
      </c>
      <c r="K67" s="53">
        <f>SUM(K65:K66)</f>
        <v>312082</v>
      </c>
      <c r="L67" s="53">
        <f>SUM(L65:L66)</f>
        <v>39053.716972446899</v>
      </c>
      <c r="M67" s="80">
        <f>IF(J67&gt;0,L67/J67,0)</f>
        <v>0.14303908935509704</v>
      </c>
      <c r="N67" s="53">
        <f>SUM(N65:N66)</f>
        <v>11936000.653372737</v>
      </c>
      <c r="O67" s="53">
        <f>SUM(O65:O66)</f>
        <v>10429789.820000652</v>
      </c>
      <c r="P67" s="53">
        <f>SUM(P65:P66)</f>
        <v>-1506210.8333720835</v>
      </c>
      <c r="Q67" s="80">
        <f>IF(N67&gt;0,P67/N67,0)</f>
        <v>-0.12619057899820707</v>
      </c>
      <c r="R67" s="6"/>
    </row>
    <row r="69" spans="1:20" x14ac:dyDescent="0.4">
      <c r="C69" s="57"/>
      <c r="D69" s="30"/>
      <c r="E69" s="31"/>
      <c r="F69" s="32"/>
      <c r="G69" s="33" t="s">
        <v>5</v>
      </c>
      <c r="H69" s="32"/>
      <c r="I69" s="31"/>
      <c r="J69" s="32"/>
      <c r="K69" s="33" t="s">
        <v>5</v>
      </c>
      <c r="L69" s="32"/>
      <c r="M69" s="31"/>
      <c r="N69" s="32"/>
      <c r="O69" s="32"/>
      <c r="P69" s="32"/>
      <c r="Q69" s="31"/>
    </row>
    <row r="70" spans="1:20" x14ac:dyDescent="0.4">
      <c r="C70" s="58"/>
      <c r="D70" s="34"/>
      <c r="E70" s="35"/>
      <c r="F70" s="36" t="s">
        <v>2</v>
      </c>
      <c r="G70" s="36" t="s">
        <v>3</v>
      </c>
      <c r="H70" s="36"/>
      <c r="I70" s="37" t="s">
        <v>6</v>
      </c>
      <c r="J70" s="36" t="s">
        <v>2</v>
      </c>
      <c r="K70" s="36" t="s">
        <v>3</v>
      </c>
      <c r="L70" s="36"/>
      <c r="M70" s="37" t="s">
        <v>6</v>
      </c>
      <c r="N70" s="36" t="s">
        <v>2</v>
      </c>
      <c r="O70" s="36" t="s">
        <v>3</v>
      </c>
      <c r="P70" s="36"/>
      <c r="Q70" s="37" t="s">
        <v>6</v>
      </c>
      <c r="R70" s="59"/>
    </row>
    <row r="71" spans="1:20" x14ac:dyDescent="0.4">
      <c r="C71" s="60" t="s">
        <v>12</v>
      </c>
      <c r="D71" s="246" t="s">
        <v>10</v>
      </c>
      <c r="E71" s="247"/>
      <c r="F71" s="38" t="s">
        <v>1</v>
      </c>
      <c r="G71" s="38" t="s">
        <v>1</v>
      </c>
      <c r="H71" s="38" t="s">
        <v>4</v>
      </c>
      <c r="I71" s="61" t="s">
        <v>7</v>
      </c>
      <c r="J71" s="38" t="s">
        <v>0</v>
      </c>
      <c r="K71" s="38" t="s">
        <v>0</v>
      </c>
      <c r="L71" s="38" t="s">
        <v>4</v>
      </c>
      <c r="M71" s="61" t="s">
        <v>7</v>
      </c>
      <c r="N71" s="38" t="s">
        <v>8</v>
      </c>
      <c r="O71" s="38" t="s">
        <v>8</v>
      </c>
      <c r="P71" s="38" t="s">
        <v>4</v>
      </c>
      <c r="Q71" s="61" t="s">
        <v>7</v>
      </c>
      <c r="R71" s="62"/>
    </row>
    <row r="72" spans="1:20" x14ac:dyDescent="0.4">
      <c r="C72" s="57" t="s">
        <v>13</v>
      </c>
      <c r="D72" s="23">
        <f>SUMIF($B$10:$B$58,"Res",D10:D58)</f>
        <v>400967</v>
      </c>
      <c r="E72" s="44"/>
      <c r="F72" s="63">
        <f>SUMIF($B$10:$B$58,"Res",F10:F58)</f>
        <v>44101404.339999996</v>
      </c>
      <c r="G72" s="64">
        <f>SUMIF($B$10:$B$58,"Res",G10:G58)</f>
        <v>38259015.6156158</v>
      </c>
      <c r="H72" s="64">
        <f>SUMIF($B$10:$B$58,"Res",H10:H58)</f>
        <v>-5842388.724384198</v>
      </c>
      <c r="I72" s="45">
        <f>IF(F72&gt;0,H72/F72,0)</f>
        <v>-0.13247625130805979</v>
      </c>
      <c r="J72" s="63">
        <f>SUMIF($B$10:$B$58,"Res",J10:J58)</f>
        <v>14275.656842698912</v>
      </c>
      <c r="K72" s="64">
        <f>SUMIF($B$10:$B$58,"Res",K10:K58)</f>
        <v>12271.207879471933</v>
      </c>
      <c r="L72" s="64">
        <f>SUMIF($B$10:$B$58,"Res",L10:L58)</f>
        <v>-2004.4489632269788</v>
      </c>
      <c r="M72" s="45">
        <f>IF(J72&gt;0,L72/J72,0)</f>
        <v>-0.14041027921262528</v>
      </c>
      <c r="N72" s="42">
        <f>SUMIF($B$10:$B$58,"Res",N10:N58)</f>
        <v>7873971.5490163248</v>
      </c>
      <c r="O72" s="42">
        <f>SUMIF($B$10:$B$58,"Res",O10:O58)</f>
        <v>5383450.0695309918</v>
      </c>
      <c r="P72" s="42">
        <f>SUMIF($B$10:$B$58,"Res",P10:P58)</f>
        <v>-2490521.4794853339</v>
      </c>
      <c r="Q72" s="45">
        <f>IF(N72&gt;0,P72/N72,0)</f>
        <v>-0.31629800336228908</v>
      </c>
    </row>
    <row r="73" spans="1:20" x14ac:dyDescent="0.4">
      <c r="C73" s="58" t="s">
        <v>14</v>
      </c>
      <c r="D73" s="23">
        <f>SUMIF($B$10:$B$58,"NonRes",D10:D58)</f>
        <v>104647</v>
      </c>
      <c r="E73" s="44"/>
      <c r="F73" s="65">
        <f>SUMIF($B$10:$B$58,"NonRes",F10:F58)</f>
        <v>127181726.59999999</v>
      </c>
      <c r="G73" s="93">
        <f>SUMIF($B$10:$B$58,"NonRes",G10:G58)</f>
        <v>76895093.284799993</v>
      </c>
      <c r="H73" s="93">
        <f>SUMIF($B$10:$B$58,"NonRes",H10:H58)</f>
        <v>-50286633.315200016</v>
      </c>
      <c r="I73" s="45">
        <f>IF(F73&gt;0,H73/F73,0)</f>
        <v>-0.39539196911012858</v>
      </c>
      <c r="J73" s="65">
        <f>SUMIF($B$10:$B$58,"NonRes",J10:J58)</f>
        <v>29994.333023609044</v>
      </c>
      <c r="K73" s="93">
        <f>SUMIF($B$10:$B$58,"NonRes",K10:K58)</f>
        <v>23194.0249</v>
      </c>
      <c r="L73" s="93">
        <f>SUMIF($B$10:$B$58,"NonRes",L10:L58)</f>
        <v>-6800.3081236090438</v>
      </c>
      <c r="M73" s="45">
        <f>IF(J73&gt;0,L73/J73,0)</f>
        <v>-0.22671976463875382</v>
      </c>
      <c r="N73" s="94">
        <f>SUMIF($B$10:$B$58,"NonRes",N10:N58)</f>
        <v>22900583.760434687</v>
      </c>
      <c r="O73" s="43">
        <f>SUMIF($B$10:$B$58,"NonRes",O10:O58)</f>
        <v>14595320.000468355</v>
      </c>
      <c r="P73" s="43">
        <f>SUMIF($B$10:$B$58,"NonRes",P10:P58)</f>
        <v>-8305263.7599663297</v>
      </c>
      <c r="Q73" s="45">
        <f>IF(N73&gt;0,P73/N73,0)</f>
        <v>-0.36266602837938677</v>
      </c>
    </row>
    <row r="74" spans="1:20" x14ac:dyDescent="0.4">
      <c r="C74" s="239" t="s">
        <v>106</v>
      </c>
      <c r="D74" s="23">
        <f>SUMIF($B$65:$B$66,"DR",D65:D66)</f>
        <v>64939</v>
      </c>
      <c r="E74" s="44"/>
      <c r="F74" s="6">
        <f>SUMIF($B$65:$B$66,"DR",F65:F66)</f>
        <v>3259116</v>
      </c>
      <c r="G74" s="6">
        <f>SUMIF($B$65:$B$66,"DR",G65:G66)</f>
        <v>777617</v>
      </c>
      <c r="H74" s="6">
        <f>SUMIF($B$65:$B$66,"DR",H65:H66)</f>
        <v>-2481499</v>
      </c>
      <c r="I74" s="73">
        <f>IF(F74&gt;0,H74/F74,0)</f>
        <v>-0.76140247846348519</v>
      </c>
      <c r="J74" s="6">
        <f>SUMIF($B$65:$B$66,"DR",J65:J66)</f>
        <v>273028.28302755312</v>
      </c>
      <c r="K74" s="6">
        <f>SUMIF($B$65:$B$66,"DR",K65:K66)</f>
        <v>312082</v>
      </c>
      <c r="L74" s="6">
        <f>SUMIF($B$65:$B$66,"DR",L65:L66)</f>
        <v>39053.716972446899</v>
      </c>
      <c r="M74" s="73">
        <f>IF(J74&gt;0,L74/J74,0)</f>
        <v>0.14303908935509704</v>
      </c>
      <c r="N74" s="240">
        <f>SUMIF($B$65:$B$66,"DR",N65:N66)</f>
        <v>11936000.653372737</v>
      </c>
      <c r="O74" s="72">
        <f>SUMIF($B$65:$B$66,"DR",O65:O66)</f>
        <v>10429789.820000652</v>
      </c>
      <c r="P74" s="72">
        <f>SUMIF($B$65:$B$66,"DR",P65:P66)</f>
        <v>-1506210.8333720835</v>
      </c>
      <c r="Q74" s="73">
        <f>IF(N74&gt;0,P74/N74,0)</f>
        <v>-0.12619057899820707</v>
      </c>
    </row>
    <row r="75" spans="1:20" x14ac:dyDescent="0.4">
      <c r="C75" s="58" t="s">
        <v>72</v>
      </c>
      <c r="D75" s="23">
        <f>SUMIF($B$10:$B$58,"Other",D10:D58)</f>
        <v>43</v>
      </c>
      <c r="E75" s="44"/>
      <c r="F75" s="93">
        <f>SUMIF($B$10:$B$58,"Other",F10:F58)</f>
        <v>0</v>
      </c>
      <c r="G75" s="66">
        <f>SUMIF($B$10:$B$58,"Other",G10:G58)</f>
        <v>0</v>
      </c>
      <c r="H75" s="66">
        <f>SUMIF($B$10:$B$58,"Other",H10:H58)</f>
        <v>0</v>
      </c>
      <c r="I75" s="45">
        <f>IF(F75&gt;0,H75/F75,0)</f>
        <v>0</v>
      </c>
      <c r="J75" s="93">
        <f>SUMIF($B$10:$B$58,"Other",J10:J58)</f>
        <v>0</v>
      </c>
      <c r="K75" s="66">
        <f>SUMIF($B$10:$B$58,"Other",K10:K58)</f>
        <v>0</v>
      </c>
      <c r="L75" s="66">
        <f>SUMIF($B$10:$B$58,"Other",L10:L58)</f>
        <v>0</v>
      </c>
      <c r="M75" s="45">
        <f>IF(J75&gt;0,L75/J75,0)</f>
        <v>0</v>
      </c>
      <c r="N75" s="50">
        <f>SUMIF($B$10:$B$58,"Other",N10:N58)</f>
        <v>1605000</v>
      </c>
      <c r="O75" s="50">
        <f>SUMIF($B$10:$B$58,"Other",O10:O58)</f>
        <v>1909636.17</v>
      </c>
      <c r="P75" s="50">
        <f>SUMIF($B$10:$B$58,"Other",P10:P58)</f>
        <v>304636.17000000004</v>
      </c>
      <c r="Q75" s="45">
        <f>IF(N75&gt;0,P75/N75,0)</f>
        <v>0.18980446728971964</v>
      </c>
    </row>
    <row r="76" spans="1:20" x14ac:dyDescent="0.4">
      <c r="C76" s="235" t="s">
        <v>112</v>
      </c>
      <c r="D76" s="51">
        <f>SUM(D72:D75)</f>
        <v>570596</v>
      </c>
      <c r="E76" s="52"/>
      <c r="F76" s="67">
        <f>SUM(F72:F75)</f>
        <v>174542246.94</v>
      </c>
      <c r="G76" s="67">
        <f>SUM(G72:G75)</f>
        <v>115931725.90041579</v>
      </c>
      <c r="H76" s="67">
        <f>SUM(H72:H75)</f>
        <v>-58610521.039584212</v>
      </c>
      <c r="I76" s="54">
        <f>IF(F76&gt;0,H76/F76,0)</f>
        <v>-0.33579561434047511</v>
      </c>
      <c r="J76" s="67">
        <f>SUM(J72:J75)</f>
        <v>317298.27289386105</v>
      </c>
      <c r="K76" s="67">
        <f t="shared" ref="K76:L76" si="25">SUM(K72:K75)</f>
        <v>347547.2327794719</v>
      </c>
      <c r="L76" s="67">
        <f t="shared" si="25"/>
        <v>30248.959885610875</v>
      </c>
      <c r="M76" s="54">
        <f>IF(J76&gt;0,L76/J76,0)</f>
        <v>9.533288539433496E-2</v>
      </c>
      <c r="N76" s="55">
        <f>SUM(N72:N75)</f>
        <v>44315555.962823749</v>
      </c>
      <c r="O76" s="55">
        <f t="shared" ref="O76:P76" si="26">SUM(O72:O75)</f>
        <v>32318196.059999995</v>
      </c>
      <c r="P76" s="55">
        <f t="shared" si="26"/>
        <v>-11997359.902823748</v>
      </c>
      <c r="Q76" s="54">
        <f>IF(N76&gt;0,P76/N76,0)</f>
        <v>-0.27072569986233086</v>
      </c>
    </row>
    <row r="77" spans="1:20" x14ac:dyDescent="0.4">
      <c r="D77" s="56"/>
      <c r="O77" s="59"/>
    </row>
    <row r="78" spans="1:20" x14ac:dyDescent="0.4">
      <c r="C78" s="6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80" spans="1:20" ht="12.75" customHeight="1" x14ac:dyDescent="0.75">
      <c r="D80" s="56"/>
      <c r="F80" s="69"/>
    </row>
  </sheetData>
  <mergeCells count="7">
    <mergeCell ref="C2:Q2"/>
    <mergeCell ref="C3:Q3"/>
    <mergeCell ref="C4:Q4"/>
    <mergeCell ref="D9:E9"/>
    <mergeCell ref="D71:E71"/>
    <mergeCell ref="C5:Q5"/>
    <mergeCell ref="D64:E64"/>
  </mergeCells>
  <phoneticPr fontId="0" type="noConversion"/>
  <printOptions horizontalCentered="1" verticalCentered="1"/>
  <pageMargins left="0.25" right="0.25" top="0.75" bottom="0.75" header="0.3" footer="0.3"/>
  <pageSetup scale="71" orientation="landscape" r:id="rId1"/>
  <headerFooter>
    <oddHeader>&amp;R&amp;"-,Regular"&amp;11 2021 Exhibit B
Plan v Actual Variances by Program
EEP-2018-0002</oddHeader>
    <oddFooter><![CDATA[&C&"-,Regular"&11Page &P of &N&R&"-,Regular"&11&F]]>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U80"/>
  <sheetViews>
    <sheetView view="pageLayout" topLeftCell="D4" zoomScale="80" zoomScaleNormal="90" zoomScaleSheetLayoutView="55" zoomScalePageLayoutView="80" workbookViewId="0">
      <selection activeCell="C2" sqref="C2:R2"/>
    </sheetView>
  </sheetViews>
  <sheetFormatPr defaultColWidth="9.1328125" defaultRowHeight="13.15" outlineLevelCol="1" x14ac:dyDescent="0.4"/>
  <cols>
    <col min="1" max="1" customWidth="true" hidden="true" style="1" width="20.86328125" outlineLevel="1" collapsed="false"/>
    <col min="2" max="3" customWidth="true" hidden="true" style="1" width="9.1328125" outlineLevel="1" collapsed="false"/>
    <col min="4" max="4" customWidth="true" style="29" width="38.86328125" collapsed="true"/>
    <col min="5" max="5" customWidth="true" style="29" width="10.0" collapsed="false"/>
    <col min="6" max="6" customWidth="true" style="29" width="3.0" collapsed="false"/>
    <col min="7" max="8" bestFit="true" customWidth="true" style="29" width="12.0" collapsed="false"/>
    <col min="9" max="9" bestFit="true" customWidth="true" style="29" width="11.59765625" collapsed="false"/>
    <col min="10" max="10" bestFit="true" customWidth="true" style="29" width="10.59765625" collapsed="false"/>
    <col min="11" max="11" bestFit="true" customWidth="true" style="29" width="8.59765625" collapsed="false"/>
    <col min="12" max="12" bestFit="true" customWidth="true" style="29" width="11.1328125" collapsed="false"/>
    <col min="13" max="13" bestFit="true" customWidth="true" style="29" width="8.73046875" collapsed="false"/>
    <col min="14" max="14" bestFit="true" customWidth="true" style="29" width="10.59765625" collapsed="false"/>
    <col min="15" max="17" customWidth="true" style="29" width="14.265625" collapsed="false"/>
    <col min="18" max="18" bestFit="true" customWidth="true" style="29" width="10.59765625" collapsed="false"/>
    <col min="19" max="23" customWidth="true" style="1" width="9.1328125" collapsed="false"/>
    <col min="24" max="16384" style="1" width="9.1328125" collapsed="false"/>
  </cols>
  <sheetData>
    <row r="2" spans="1:21" ht="15.75" customHeight="1" x14ac:dyDescent="0.5">
      <c r="D2" s="243" t="s">
        <v>15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1" ht="15.75" customHeight="1" x14ac:dyDescent="0.5">
      <c r="D3" s="243" t="str">
        <f>'Elec Gross'!C3</f>
        <v>2021 Iowa Energy Efficiency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1" ht="15.75" customHeight="1" x14ac:dyDescent="0.5">
      <c r="D4" s="243" t="s">
        <v>16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21" ht="18" x14ac:dyDescent="0.55000000000000004">
      <c r="D5" s="248" t="s">
        <v>24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7" spans="1:21" x14ac:dyDescent="0.4">
      <c r="D7" s="30"/>
      <c r="E7" s="30"/>
      <c r="F7" s="31"/>
      <c r="G7" s="32"/>
      <c r="H7" s="33" t="s">
        <v>5</v>
      </c>
      <c r="I7" s="32"/>
      <c r="J7" s="31"/>
      <c r="K7" s="32"/>
      <c r="L7" s="33" t="s">
        <v>5</v>
      </c>
      <c r="M7" s="32"/>
      <c r="N7" s="31"/>
      <c r="O7" s="32"/>
      <c r="P7" s="32"/>
      <c r="Q7" s="32"/>
      <c r="R7" s="31"/>
    </row>
    <row r="8" spans="1:21" x14ac:dyDescent="0.4">
      <c r="D8" s="34"/>
      <c r="E8" s="34"/>
      <c r="F8" s="35"/>
      <c r="G8" s="36" t="s">
        <v>2</v>
      </c>
      <c r="H8" s="36" t="s">
        <v>3</v>
      </c>
      <c r="I8" s="36"/>
      <c r="J8" s="37" t="s">
        <v>6</v>
      </c>
      <c r="K8" s="36" t="s">
        <v>2</v>
      </c>
      <c r="L8" s="36" t="s">
        <v>3</v>
      </c>
      <c r="M8" s="36"/>
      <c r="N8" s="37" t="s">
        <v>6</v>
      </c>
      <c r="O8" s="36" t="s">
        <v>2</v>
      </c>
      <c r="P8" s="36" t="s">
        <v>3</v>
      </c>
      <c r="Q8" s="36"/>
      <c r="R8" s="37" t="s">
        <v>6</v>
      </c>
    </row>
    <row r="9" spans="1:21" x14ac:dyDescent="0.4">
      <c r="A9" s="1" t="s">
        <v>26</v>
      </c>
      <c r="B9" s="1" t="s">
        <v>27</v>
      </c>
      <c r="C9" s="1" t="s">
        <v>59</v>
      </c>
      <c r="D9" s="233" t="s">
        <v>108</v>
      </c>
      <c r="E9" s="246" t="s">
        <v>10</v>
      </c>
      <c r="F9" s="247"/>
      <c r="G9" s="36" t="s">
        <v>1</v>
      </c>
      <c r="H9" s="36" t="s">
        <v>1</v>
      </c>
      <c r="I9" s="36" t="s">
        <v>4</v>
      </c>
      <c r="J9" s="37" t="s">
        <v>7</v>
      </c>
      <c r="K9" s="36" t="s">
        <v>0</v>
      </c>
      <c r="L9" s="36" t="s">
        <v>0</v>
      </c>
      <c r="M9" s="36" t="s">
        <v>4</v>
      </c>
      <c r="N9" s="37" t="s">
        <v>7</v>
      </c>
      <c r="O9" s="38" t="s">
        <v>8</v>
      </c>
      <c r="P9" s="38" t="s">
        <v>8</v>
      </c>
      <c r="Q9" s="38" t="s">
        <v>4</v>
      </c>
      <c r="R9" s="61" t="s">
        <v>7</v>
      </c>
    </row>
    <row r="10" spans="1:21" s="2" customFormat="1" x14ac:dyDescent="0.4">
      <c r="A10" s="1">
        <f>IF('Elec Gross'!A10="","",'Elec Gross'!A10)</f>
        <v>17802</v>
      </c>
      <c r="B10" s="1" t="str">
        <f>IF('Elec Gross'!B10="","",'Elec Gross'!B10)</f>
        <v>Res</v>
      </c>
      <c r="C10" s="1">
        <v>0.7</v>
      </c>
      <c r="D10" s="30" t="str">
        <f>IF('Elec Gross'!C10="","",'Elec Gross'!C10)</f>
        <v>Residential Equipment</v>
      </c>
      <c r="E10" s="23">
        <f>IF('Elec Gross'!D10="","",'Elec Gross'!D10)</f>
        <v>12467</v>
      </c>
      <c r="F10" s="25" t="str">
        <f>IF('Elec Gross'!E10="","",'Elec Gross'!E10)</f>
        <v/>
      </c>
      <c r="G10" s="22">
        <f>IFERROR(VLOOKUP(A10,Net!$A:$D,3,0),0)</f>
        <v>1796084.8099999996</v>
      </c>
      <c r="H10" s="40">
        <v>2667862.4705600045</v>
      </c>
      <c r="I10" s="40">
        <f>H10-G10</f>
        <v>871777.66056000488</v>
      </c>
      <c r="J10" s="70">
        <f>IF(G10&gt;0,I10/G10,0)</f>
        <v>0.48537666802048457</v>
      </c>
      <c r="K10" s="22">
        <f>IFERROR(VLOOKUP(A10,Net!$A:$D,4,0),0)</f>
        <v>1655.5961207342461</v>
      </c>
      <c r="L10" s="40">
        <v>1605.0379099999939</v>
      </c>
      <c r="M10" s="40">
        <f>L10-K10</f>
        <v>-50.55821073425227</v>
      </c>
      <c r="N10" s="70">
        <f>IF(K10&gt;0,M10/K10,0)</f>
        <v>-3.0537768300538195E-2</v>
      </c>
      <c r="O10" s="71">
        <f>'Elec Gross'!N10</f>
        <v>3408060.2233743765</v>
      </c>
      <c r="P10" s="71">
        <f>'Elec Gross'!O10</f>
        <v>2342290.1414881842</v>
      </c>
      <c r="Q10" s="72">
        <f t="shared" ref="Q10:Q11" si="0">P10-O10</f>
        <v>-1065770.0818861923</v>
      </c>
      <c r="R10" s="73">
        <f t="shared" ref="R10:R11" si="1">IF(O10&gt;0,Q10/O10,0)</f>
        <v>-0.31272043685629353</v>
      </c>
      <c r="S10" s="12"/>
      <c r="T10" s="4"/>
      <c r="U10" s="3"/>
    </row>
    <row r="11" spans="1:21" s="2" customFormat="1" x14ac:dyDescent="0.4">
      <c r="A11" s="1">
        <f>IF('Elec Gross'!A11="","",'Elec Gross'!A11)</f>
        <v>17808</v>
      </c>
      <c r="B11" s="1" t="str">
        <f>IF('Elec Gross'!B11="","",'Elec Gross'!B11)</f>
        <v>Res</v>
      </c>
      <c r="C11" s="1">
        <v>1</v>
      </c>
      <c r="D11" s="34" t="str">
        <f>IF('Elec Gross'!C11="","",'Elec Gross'!C11)</f>
        <v>Residential Assessment</v>
      </c>
      <c r="E11" s="23">
        <f>IF('Elec Gross'!D11="","",'Elec Gross'!D11)</f>
        <v>30140</v>
      </c>
      <c r="F11" s="25" t="str">
        <f>IF('Elec Gross'!E11="","",'Elec Gross'!E11)</f>
        <v/>
      </c>
      <c r="G11" s="23">
        <f>IFERROR(VLOOKUP(A11,Net!$A:$D,3,0),0)</f>
        <v>5072601.6000000015</v>
      </c>
      <c r="H11" s="25">
        <v>3718361.2248156946</v>
      </c>
      <c r="I11" s="25">
        <f t="shared" ref="I11:I26" si="2">H11-G11</f>
        <v>-1354240.3751843069</v>
      </c>
      <c r="J11" s="73">
        <f t="shared" ref="J11:J26" si="3">IF(G11&gt;0,I11/G11,0)</f>
        <v>-0.26697156251819709</v>
      </c>
      <c r="K11" s="25">
        <f>IFERROR(VLOOKUP(A11,Net!$A:$D,4,0),0)</f>
        <v>595.56115354215876</v>
      </c>
      <c r="L11" s="25">
        <v>425.53467947193781</v>
      </c>
      <c r="M11" s="25">
        <f t="shared" ref="M11:M26" si="4">L11-K11</f>
        <v>-170.02647407022096</v>
      </c>
      <c r="N11" s="73">
        <f t="shared" ref="N11:N26" si="5">IF(K11&gt;0,M11/K11,0)</f>
        <v>-0.28548953043524028</v>
      </c>
      <c r="O11" s="72">
        <f>'Elec Gross'!N11</f>
        <v>972514.24200694973</v>
      </c>
      <c r="P11" s="72">
        <f>'Elec Gross'!O11</f>
        <v>951557.86787124514</v>
      </c>
      <c r="Q11" s="72">
        <f t="shared" si="0"/>
        <v>-20956.374135704595</v>
      </c>
      <c r="R11" s="73">
        <f t="shared" si="1"/>
        <v>-2.1548655259235616E-2</v>
      </c>
      <c r="S11" s="12"/>
      <c r="T11" s="4"/>
      <c r="U11" s="3"/>
    </row>
    <row r="12" spans="1:21" s="2" customFormat="1" x14ac:dyDescent="0.4">
      <c r="A12" s="1">
        <f>IF('Elec Gross'!A12="","",'Elec Gross'!A12)</f>
        <v>17860</v>
      </c>
      <c r="B12" s="1" t="str">
        <f>IF('Elec Gross'!B12="","",'Elec Gross'!B12)</f>
        <v>Res</v>
      </c>
      <c r="C12" s="1">
        <v>1</v>
      </c>
      <c r="D12" s="34" t="str">
        <f>IF('Elec Gross'!C12="","",'Elec Gross'!C12)</f>
        <v>Residential Behavioral</v>
      </c>
      <c r="E12" s="23">
        <f>IF('Elec Gross'!D12="","",'Elec Gross'!D12)</f>
        <v>315558</v>
      </c>
      <c r="F12" s="25" t="str">
        <f>IF('Elec Gross'!E12="","",'Elec Gross'!E12)</f>
        <v/>
      </c>
      <c r="G12" s="23">
        <f>IFERROR(VLOOKUP(A12,Net!$A:$D,3,0),0)</f>
        <v>29499800</v>
      </c>
      <c r="H12" s="25">
        <v>27699062.899999999</v>
      </c>
      <c r="I12" s="25">
        <f t="shared" si="2"/>
        <v>-1800737.1000000015</v>
      </c>
      <c r="J12" s="73">
        <f t="shared" si="3"/>
        <v>-6.1042349439657272E-2</v>
      </c>
      <c r="K12" s="25">
        <f>IFERROR(VLOOKUP(A12,Net!$A:$D,4,0),0)</f>
        <v>9599.6495941435878</v>
      </c>
      <c r="L12" s="25">
        <v>9122.8799999999992</v>
      </c>
      <c r="M12" s="25">
        <f t="shared" si="4"/>
        <v>-476.76959414358862</v>
      </c>
      <c r="N12" s="73">
        <f t="shared" si="5"/>
        <v>-4.9665312204150575E-2</v>
      </c>
      <c r="O12" s="72">
        <f>'Elec Gross'!N12</f>
        <v>1498000</v>
      </c>
      <c r="P12" s="72">
        <f>'Elec Gross'!O12</f>
        <v>915653.52337073942</v>
      </c>
      <c r="Q12" s="72">
        <f t="shared" ref="Q12:Q26" si="6">P12-O12</f>
        <v>-582346.47662926058</v>
      </c>
      <c r="R12" s="73">
        <f t="shared" ref="R12:R26" si="7">IF(O12&gt;0,Q12/O12,0)</f>
        <v>-0.38874931684196301</v>
      </c>
      <c r="S12" s="12"/>
      <c r="T12" s="4"/>
      <c r="U12" s="3"/>
    </row>
    <row r="13" spans="1:21" s="2" customFormat="1" x14ac:dyDescent="0.4">
      <c r="A13" s="1">
        <f>IF('Elec Gross'!A13="","",'Elec Gross'!A13)</f>
        <v>17857</v>
      </c>
      <c r="B13" s="1" t="str">
        <f>IF('Elec Gross'!B13="","",'Elec Gross'!B13)</f>
        <v>Res</v>
      </c>
      <c r="C13" s="1">
        <v>0.59</v>
      </c>
      <c r="D13" s="34" t="str">
        <f>IF('Elec Gross'!C13="","",'Elec Gross'!C13)</f>
        <v>Residential Appliance Recycling</v>
      </c>
      <c r="E13" s="23">
        <f>IF('Elec Gross'!D13="","",'Elec Gross'!D13)</f>
        <v>2875</v>
      </c>
      <c r="F13" s="25" t="str">
        <f>IF('Elec Gross'!E13="","",'Elec Gross'!E13)</f>
        <v/>
      </c>
      <c r="G13" s="23">
        <f>IFERROR(VLOOKUP(A13,Net!$A:$D,3,0),0)</f>
        <v>2890863.0299999993</v>
      </c>
      <c r="H13" s="25">
        <v>1506109.7088000588</v>
      </c>
      <c r="I13" s="25">
        <f t="shared" si="2"/>
        <v>-1384753.3211999405</v>
      </c>
      <c r="J13" s="73">
        <f t="shared" si="3"/>
        <v>-0.47901035325078711</v>
      </c>
      <c r="K13" s="25">
        <f>IFERROR(VLOOKUP(A13,Net!$A:$D,4,0),0)</f>
        <v>402.36065888277835</v>
      </c>
      <c r="L13" s="25">
        <v>208.78011400000341</v>
      </c>
      <c r="M13" s="25">
        <f t="shared" si="4"/>
        <v>-193.58054488277494</v>
      </c>
      <c r="N13" s="73">
        <f t="shared" si="5"/>
        <v>-0.48111200886359939</v>
      </c>
      <c r="O13" s="72">
        <f>'Elec Gross'!N13</f>
        <v>1082836.2336634682</v>
      </c>
      <c r="P13" s="72">
        <f>'Elec Gross'!O13</f>
        <v>565709.27252408047</v>
      </c>
      <c r="Q13" s="72">
        <f t="shared" si="6"/>
        <v>-517126.96113938768</v>
      </c>
      <c r="R13" s="73">
        <f t="shared" si="7"/>
        <v>-0.47756710115788775</v>
      </c>
      <c r="S13" s="12"/>
      <c r="T13" s="4"/>
      <c r="U13" s="3"/>
    </row>
    <row r="14" spans="1:21" s="2" customFormat="1" x14ac:dyDescent="0.4">
      <c r="A14" s="1">
        <f>IF('Elec Gross'!A14="","",'Elec Gross'!A14)</f>
        <v>17839</v>
      </c>
      <c r="B14" s="1" t="str">
        <f>IF('Elec Gross'!B14="","",'Elec Gross'!B14)</f>
        <v>Res</v>
      </c>
      <c r="C14" s="1">
        <v>0.23090497441885427</v>
      </c>
      <c r="D14" s="34" t="str">
        <f>IF('Elec Gross'!C14="","",'Elec Gross'!C14)</f>
        <v>Residential Low Income</v>
      </c>
      <c r="E14" s="23">
        <f>IF('Elec Gross'!D14="","",'Elec Gross'!D14)</f>
        <v>39927</v>
      </c>
      <c r="F14" s="25" t="str">
        <f>IF('Elec Gross'!E14="","",'Elec Gross'!E14)</f>
        <v/>
      </c>
      <c r="G14" s="23">
        <f>IFERROR(VLOOKUP(A14,Net!$A:$D,3,0),0)</f>
        <v>72662.74000000002</v>
      </c>
      <c r="H14" s="25">
        <v>110287.39</v>
      </c>
      <c r="I14" s="25">
        <f t="shared" si="2"/>
        <v>37624.64999999998</v>
      </c>
      <c r="J14" s="73">
        <f t="shared" si="3"/>
        <v>0.51779839295903196</v>
      </c>
      <c r="K14" s="25">
        <f>IFERROR(VLOOKUP(A14,Net!$A:$D,4,0),0)</f>
        <v>28.329348816029146</v>
      </c>
      <c r="L14" s="25">
        <v>30.241999999999898</v>
      </c>
      <c r="M14" s="25">
        <f t="shared" si="4"/>
        <v>1.9126511839707518</v>
      </c>
      <c r="N14" s="73">
        <f t="shared" si="5"/>
        <v>6.75148305169848E-2</v>
      </c>
      <c r="O14" s="72">
        <f>'Elec Gross'!N14</f>
        <v>732560.84997153142</v>
      </c>
      <c r="P14" s="72">
        <f>'Elec Gross'!O14</f>
        <v>526446.55852151057</v>
      </c>
      <c r="Q14" s="72">
        <f t="shared" si="6"/>
        <v>-206114.29145002086</v>
      </c>
      <c r="R14" s="73">
        <f t="shared" si="7"/>
        <v>-0.28136132508040912</v>
      </c>
      <c r="S14" s="12"/>
      <c r="T14" s="4"/>
      <c r="U14" s="3"/>
    </row>
    <row r="15" spans="1:21" s="2" customFormat="1" x14ac:dyDescent="0.4">
      <c r="A15" s="1">
        <f>IF('Elec Gross'!A15="","",'Elec Gross'!A15)</f>
        <v>17849</v>
      </c>
      <c r="B15" s="1" t="str">
        <f>IF('Elec Gross'!B15="","",'Elec Gross'!B15)</f>
        <v>Res</v>
      </c>
      <c r="C15" s="1">
        <v>1</v>
      </c>
      <c r="D15" s="34" t="str">
        <f>IF('Elec Gross'!C15="","",'Elec Gross'!C15)</f>
        <v>Residential Education</v>
      </c>
      <c r="E15" s="23">
        <f>IF('Elec Gross'!D15="","",'Elec Gross'!D15)</f>
        <v>0</v>
      </c>
      <c r="F15" s="25" t="str">
        <f>IF('Elec Gross'!E15="","",'Elec Gross'!E15)</f>
        <v/>
      </c>
      <c r="G15" s="23">
        <f>IFERROR(VLOOKUP(A15,Net!$A:$D,3,0),0)</f>
        <v>0</v>
      </c>
      <c r="H15" s="25">
        <v>0</v>
      </c>
      <c r="I15" s="25">
        <f t="shared" si="2"/>
        <v>0</v>
      </c>
      <c r="J15" s="73">
        <f t="shared" si="3"/>
        <v>0</v>
      </c>
      <c r="K15" s="25">
        <f>IFERROR(VLOOKUP(A15,Net!$A:$D,4,0),0)</f>
        <v>0</v>
      </c>
      <c r="L15" s="25">
        <v>0</v>
      </c>
      <c r="M15" s="25">
        <f t="shared" si="4"/>
        <v>0</v>
      </c>
      <c r="N15" s="73">
        <f t="shared" si="5"/>
        <v>0</v>
      </c>
      <c r="O15" s="72">
        <f>'Elec Gross'!N15</f>
        <v>180000</v>
      </c>
      <c r="P15" s="72">
        <f>'Elec Gross'!O15</f>
        <v>81792.705755231858</v>
      </c>
      <c r="Q15" s="72">
        <f t="shared" si="6"/>
        <v>-98207.294244768142</v>
      </c>
      <c r="R15" s="73">
        <f t="shared" si="7"/>
        <v>-0.54559607913760078</v>
      </c>
      <c r="S15" s="12"/>
      <c r="T15" s="4"/>
      <c r="U15" s="3"/>
    </row>
    <row r="16" spans="1:21" s="2" customFormat="1" x14ac:dyDescent="0.4">
      <c r="A16" s="1">
        <f>IF('Elec Gross'!A16="","",'Elec Gross'!A16)</f>
        <v>17805</v>
      </c>
      <c r="B16" s="1" t="str">
        <f>IF('Elec Gross'!B16="","",'Elec Gross'!B16)</f>
        <v>NonRes</v>
      </c>
      <c r="C16" s="1">
        <v>0.69939029364622229</v>
      </c>
      <c r="D16" s="34" t="str">
        <f>IF('Elec Gross'!C16="","",'Elec Gross'!C16)</f>
        <v>Nonresidential Equipment</v>
      </c>
      <c r="E16" s="23">
        <f>IF('Elec Gross'!D16="","",'Elec Gross'!D16)</f>
        <v>88865</v>
      </c>
      <c r="F16" s="25" t="str">
        <f>IF('Elec Gross'!E16="","",'Elec Gross'!E16)</f>
        <v/>
      </c>
      <c r="G16" s="23">
        <f>IFERROR(VLOOKUP(A16,Net!$A:$D,3,0),0)</f>
        <v>18803398.499999993</v>
      </c>
      <c r="H16" s="25">
        <v>10424494.719029995</v>
      </c>
      <c r="I16" s="25">
        <f t="shared" si="2"/>
        <v>-8378903.7809699979</v>
      </c>
      <c r="J16" s="73">
        <f t="shared" si="3"/>
        <v>-0.44560581859550558</v>
      </c>
      <c r="K16" s="25">
        <f>IFERROR(VLOOKUP(A16,Net!$A:$D,4,0),0)</f>
        <v>6688.6692676233215</v>
      </c>
      <c r="L16" s="25">
        <v>1592.0445099999999</v>
      </c>
      <c r="M16" s="25">
        <f t="shared" si="4"/>
        <v>-5096.6247576233218</v>
      </c>
      <c r="N16" s="73">
        <f t="shared" si="5"/>
        <v>-0.7619788860384632</v>
      </c>
      <c r="O16" s="72">
        <f>'Elec Gross'!N16</f>
        <v>5652893.1785321385</v>
      </c>
      <c r="P16" s="72">
        <f>'Elec Gross'!O16</f>
        <v>2647813.2455380084</v>
      </c>
      <c r="Q16" s="72">
        <f t="shared" si="6"/>
        <v>-3005079.9329941301</v>
      </c>
      <c r="R16" s="73">
        <f t="shared" si="7"/>
        <v>-0.53160033952285757</v>
      </c>
      <c r="S16" s="12"/>
      <c r="T16" s="4"/>
      <c r="U16" s="3"/>
    </row>
    <row r="17" spans="1:21" s="2" customFormat="1" x14ac:dyDescent="0.4">
      <c r="A17" s="1">
        <f>IF('Elec Gross'!A17="","",'Elec Gross'!A17)</f>
        <v>17817</v>
      </c>
      <c r="B17" s="1" t="str">
        <f>IF('Elec Gross'!B17="","",'Elec Gross'!B17)</f>
        <v>NonRes</v>
      </c>
      <c r="C17" s="1">
        <v>0.77690254137353265</v>
      </c>
      <c r="D17" s="34" t="str">
        <f>IF('Elec Gross'!C17="","",'Elec Gross'!C17)</f>
        <v>Nonresidential Energy Solutions</v>
      </c>
      <c r="E17" s="23">
        <f>IF('Elec Gross'!D17="","",'Elec Gross'!D17)</f>
        <v>6666</v>
      </c>
      <c r="F17" s="74" t="str">
        <f>IF('Elec Gross'!E17="","",'Elec Gross'!E17)</f>
        <v/>
      </c>
      <c r="G17" s="23">
        <f>IFERROR(VLOOKUP(A17,Net!$A:$D,3,0),0)</f>
        <v>51222450.799999982</v>
      </c>
      <c r="H17" s="25">
        <v>14354591.93416</v>
      </c>
      <c r="I17" s="25">
        <f t="shared" si="2"/>
        <v>-36867858.865839981</v>
      </c>
      <c r="J17" s="73">
        <f t="shared" si="3"/>
        <v>-0.71975975944204518</v>
      </c>
      <c r="K17" s="25">
        <f>IFERROR(VLOOKUP(A17,Net!$A:$D,4,0),0)</f>
        <v>9953.8910543635029</v>
      </c>
      <c r="L17" s="25">
        <v>2223.6973599999997</v>
      </c>
      <c r="M17" s="25">
        <f t="shared" si="4"/>
        <v>-7730.1936943635028</v>
      </c>
      <c r="N17" s="73">
        <f t="shared" si="5"/>
        <v>-0.77660019103532441</v>
      </c>
      <c r="O17" s="72">
        <f>'Elec Gross'!N17</f>
        <v>9564685.5980297588</v>
      </c>
      <c r="P17" s="72">
        <f>'Elec Gross'!O17</f>
        <v>5780135.5225254297</v>
      </c>
      <c r="Q17" s="72">
        <f t="shared" si="6"/>
        <v>-3784550.0755043291</v>
      </c>
      <c r="R17" s="73">
        <f t="shared" si="7"/>
        <v>-0.395679506316853</v>
      </c>
      <c r="S17" s="12"/>
      <c r="T17" s="4"/>
      <c r="U17" s="3"/>
    </row>
    <row r="18" spans="1:21" s="2" customFormat="1" x14ac:dyDescent="0.4">
      <c r="A18" s="1">
        <f>IF('Elec Gross'!A18="","",'Elec Gross'!A18)</f>
        <v>17804</v>
      </c>
      <c r="B18" s="1" t="str">
        <f>IF('Elec Gross'!B18="","",'Elec Gross'!B18)</f>
        <v>NonRes</v>
      </c>
      <c r="C18" s="1">
        <v>0.8</v>
      </c>
      <c r="D18" s="34" t="str">
        <f>IF('Elec Gross'!C18="","",'Elec Gross'!C18)</f>
        <v>Commercial New Construction</v>
      </c>
      <c r="E18" s="23">
        <f>IF('Elec Gross'!D18="","",'Elec Gross'!D18)</f>
        <v>393</v>
      </c>
      <c r="F18" s="25" t="str">
        <f>IF('Elec Gross'!E18="","",'Elec Gross'!E18)</f>
        <v/>
      </c>
      <c r="G18" s="23">
        <f>IFERROR(VLOOKUP(A18,Net!$A:$D,3,0),0)</f>
        <v>25806069</v>
      </c>
      <c r="H18" s="25">
        <v>34375517.600000001</v>
      </c>
      <c r="I18" s="25">
        <f t="shared" si="2"/>
        <v>8569448.6000000015</v>
      </c>
      <c r="J18" s="73">
        <f t="shared" si="3"/>
        <v>0.33207105661850322</v>
      </c>
      <c r="K18" s="25">
        <f>IFERROR(VLOOKUP(A18,Net!$A:$D,4,0),0)</f>
        <v>5527.0136729291426</v>
      </c>
      <c r="L18" s="25">
        <v>14364.8</v>
      </c>
      <c r="M18" s="25">
        <f t="shared" si="4"/>
        <v>8837.7863270708567</v>
      </c>
      <c r="N18" s="73">
        <f t="shared" si="5"/>
        <v>1.5990165485491028</v>
      </c>
      <c r="O18" s="72">
        <f>'Elec Gross'!N18</f>
        <v>6549950.0499999998</v>
      </c>
      <c r="P18" s="72">
        <f>'Elec Gross'!O18</f>
        <v>5367046.3600800261</v>
      </c>
      <c r="Q18" s="72">
        <f t="shared" si="6"/>
        <v>-1182903.6899199737</v>
      </c>
      <c r="R18" s="73">
        <f t="shared" si="7"/>
        <v>-0.18059736042108807</v>
      </c>
      <c r="S18" s="12"/>
      <c r="T18" s="4"/>
      <c r="U18" s="3"/>
    </row>
    <row r="19" spans="1:21" s="2" customFormat="1" x14ac:dyDescent="0.4">
      <c r="A19" s="1">
        <f>IF('Elec Gross'!A19="","",'Elec Gross'!A19)</f>
        <v>17813</v>
      </c>
      <c r="B19" s="1" t="str">
        <f>IF('Elec Gross'!B19="","",'Elec Gross'!B19)</f>
        <v>NonRes</v>
      </c>
      <c r="C19" s="1">
        <v>0.98646524245932088</v>
      </c>
      <c r="D19" s="34" t="str">
        <f>IF('Elec Gross'!C19="","",'Elec Gross'!C19)</f>
        <v>Income Qualified Multifamily Housing</v>
      </c>
      <c r="E19" s="23">
        <f>IF('Elec Gross'!D19="","",'Elec Gross'!D19)</f>
        <v>8723</v>
      </c>
      <c r="F19" s="25" t="str">
        <f>IF('Elec Gross'!E19="","",'Elec Gross'!E19)</f>
        <v/>
      </c>
      <c r="G19" s="23">
        <f>IFERROR(VLOOKUP(A19,Net!$A:$D,3,0),0)</f>
        <v>2521099.6000000006</v>
      </c>
      <c r="H19" s="25">
        <v>536521.34490000003</v>
      </c>
      <c r="I19" s="25">
        <f t="shared" si="2"/>
        <v>-1984578.2551000006</v>
      </c>
      <c r="J19" s="73">
        <f t="shared" si="3"/>
        <v>-0.78718756494190079</v>
      </c>
      <c r="K19" s="25">
        <f>IFERROR(VLOOKUP(A19,Net!$A:$D,4,0),0)</f>
        <v>553.30970880307336</v>
      </c>
      <c r="L19" s="25">
        <v>91.614499999999992</v>
      </c>
      <c r="M19" s="25">
        <f t="shared" si="4"/>
        <v>-461.69520880307334</v>
      </c>
      <c r="N19" s="73">
        <f t="shared" si="5"/>
        <v>-0.83442455727339093</v>
      </c>
      <c r="O19" s="72">
        <f>'Elec Gross'!N19</f>
        <v>713054.93387278775</v>
      </c>
      <c r="P19" s="72">
        <f>'Elec Gross'!O19</f>
        <v>543866.29376588762</v>
      </c>
      <c r="Q19" s="72">
        <f t="shared" si="6"/>
        <v>-169188.64010690013</v>
      </c>
      <c r="R19" s="73">
        <f t="shared" si="7"/>
        <v>-0.23727293939050725</v>
      </c>
      <c r="S19" s="12"/>
      <c r="T19" s="4"/>
      <c r="U19" s="3"/>
    </row>
    <row r="20" spans="1:21" s="2" customFormat="1" x14ac:dyDescent="0.4">
      <c r="A20" s="1">
        <f>IF('Elec Gross'!A20="","",'Elec Gross'!A20)</f>
        <v>17848</v>
      </c>
      <c r="B20" s="1" t="str">
        <f>IF('Elec Gross'!B20="","",'Elec Gross'!B20)</f>
        <v>NonRes</v>
      </c>
      <c r="C20" s="1">
        <v>1</v>
      </c>
      <c r="D20" s="34" t="str">
        <f>IF('Elec Gross'!C20="","",'Elec Gross'!C20)</f>
        <v>Nonresidential Education</v>
      </c>
      <c r="E20" s="23">
        <f>IF('Elec Gross'!D20="","",'Elec Gross'!D20)</f>
        <v>0</v>
      </c>
      <c r="F20" s="25" t="str">
        <f>IF('Elec Gross'!E20="","",'Elec Gross'!E20)</f>
        <v/>
      </c>
      <c r="G20" s="23">
        <f>IFERROR(VLOOKUP(A20,Net!$A:$D,3,0),0)</f>
        <v>0</v>
      </c>
      <c r="H20" s="25">
        <v>0</v>
      </c>
      <c r="I20" s="25">
        <f t="shared" si="2"/>
        <v>0</v>
      </c>
      <c r="J20" s="73">
        <f t="shared" si="3"/>
        <v>0</v>
      </c>
      <c r="K20" s="25">
        <f>IFERROR(VLOOKUP(A20,Net!$A:$D,4,0),0)</f>
        <v>0</v>
      </c>
      <c r="L20" s="25">
        <v>0</v>
      </c>
      <c r="M20" s="25">
        <f t="shared" si="4"/>
        <v>0</v>
      </c>
      <c r="N20" s="73">
        <f t="shared" si="5"/>
        <v>0</v>
      </c>
      <c r="O20" s="72">
        <f>'Elec Gross'!N20</f>
        <v>420000</v>
      </c>
      <c r="P20" s="72">
        <f>'Elec Gross'!O20</f>
        <v>256458.57855900328</v>
      </c>
      <c r="Q20" s="72">
        <f t="shared" si="6"/>
        <v>-163541.42144099672</v>
      </c>
      <c r="R20" s="73">
        <f t="shared" si="7"/>
        <v>-0.38938433676427792</v>
      </c>
      <c r="S20" s="12"/>
      <c r="T20" s="4"/>
      <c r="U20" s="3"/>
    </row>
    <row r="21" spans="1:21" s="2" customFormat="1" x14ac:dyDescent="0.4">
      <c r="A21" s="1">
        <f>IF('Elec Gross'!A21="","",'Elec Gross'!A21)</f>
        <v>17838</v>
      </c>
      <c r="B21" s="1" t="str">
        <f>IF('Elec Gross'!B21="","",'Elec Gross'!B21)</f>
        <v>Other</v>
      </c>
      <c r="C21" s="1">
        <v>1</v>
      </c>
      <c r="D21" s="34" t="str">
        <f>IF('Elec Gross'!C21="","",'Elec Gross'!C21)</f>
        <v>Trees</v>
      </c>
      <c r="E21" s="23">
        <f>IF('Elec Gross'!D21="","",'Elec Gross'!D21)</f>
        <v>43</v>
      </c>
      <c r="F21" s="25" t="str">
        <f>IF('Elec Gross'!E21="","",'Elec Gross'!E21)</f>
        <v/>
      </c>
      <c r="G21" s="23">
        <f>IFERROR(VLOOKUP(A21,Net!$A:$D,3,0),0)</f>
        <v>0</v>
      </c>
      <c r="H21" s="25">
        <v>0</v>
      </c>
      <c r="I21" s="25">
        <f t="shared" si="2"/>
        <v>0</v>
      </c>
      <c r="J21" s="73">
        <f t="shared" si="3"/>
        <v>0</v>
      </c>
      <c r="K21" s="25">
        <f>IFERROR(VLOOKUP(A21,Net!$A:$D,4,0),0)</f>
        <v>0</v>
      </c>
      <c r="L21" s="25">
        <v>0</v>
      </c>
      <c r="M21" s="25">
        <f t="shared" si="4"/>
        <v>0</v>
      </c>
      <c r="N21" s="73">
        <f t="shared" si="5"/>
        <v>0</v>
      </c>
      <c r="O21" s="72">
        <f>'Elec Gross'!N21</f>
        <v>105000</v>
      </c>
      <c r="P21" s="72">
        <f>'Elec Gross'!O21</f>
        <v>111454.62</v>
      </c>
      <c r="Q21" s="72">
        <f t="shared" si="6"/>
        <v>6454.6199999999953</v>
      </c>
      <c r="R21" s="73">
        <f t="shared" si="7"/>
        <v>6.1472571428571383E-2</v>
      </c>
      <c r="S21" s="12"/>
      <c r="T21" s="4"/>
      <c r="U21" s="3"/>
    </row>
    <row r="22" spans="1:21" s="2" customFormat="1" x14ac:dyDescent="0.4">
      <c r="A22" s="1">
        <f>IF('Elec Gross'!A22="","",'Elec Gross'!A22)</f>
        <v>17842</v>
      </c>
      <c r="B22" s="1" t="str">
        <f>IF('Elec Gross'!B22="","",'Elec Gross'!B22)</f>
        <v>Other</v>
      </c>
      <c r="C22" s="1">
        <v>1</v>
      </c>
      <c r="D22" s="34" t="str">
        <f>IF('Elec Gross'!C22="","",'Elec Gross'!C22)</f>
        <v>Assessments</v>
      </c>
      <c r="E22" s="23">
        <f>IF('Elec Gross'!D22="","",'Elec Gross'!D22)</f>
        <v>0</v>
      </c>
      <c r="F22" s="25" t="str">
        <f>IF('Elec Gross'!E22="","",'Elec Gross'!E22)</f>
        <v/>
      </c>
      <c r="G22" s="23">
        <f>IFERROR(VLOOKUP(A22,Net!$A:$D,3,0),0)</f>
        <v>0</v>
      </c>
      <c r="H22" s="25"/>
      <c r="I22" s="25">
        <f t="shared" si="2"/>
        <v>0</v>
      </c>
      <c r="J22" s="73">
        <f t="shared" si="3"/>
        <v>0</v>
      </c>
      <c r="K22" s="25">
        <f>IFERROR(VLOOKUP(A22,Net!$A:$D,4,0),0)</f>
        <v>0</v>
      </c>
      <c r="L22" s="25"/>
      <c r="M22" s="25">
        <f t="shared" si="4"/>
        <v>0</v>
      </c>
      <c r="N22" s="73">
        <f t="shared" si="5"/>
        <v>0</v>
      </c>
      <c r="O22" s="72">
        <f>'Elec Gross'!N22</f>
        <v>1500000</v>
      </c>
      <c r="P22" s="72">
        <f>'Elec Gross'!O22</f>
        <v>1798181.55</v>
      </c>
      <c r="Q22" s="72">
        <f t="shared" si="6"/>
        <v>298181.55000000005</v>
      </c>
      <c r="R22" s="73">
        <f t="shared" si="7"/>
        <v>0.19878770000000004</v>
      </c>
      <c r="S22" s="12"/>
      <c r="T22" s="4"/>
      <c r="U22" s="3"/>
    </row>
    <row r="23" spans="1:21" s="2" customFormat="1" hidden="1" x14ac:dyDescent="0.4">
      <c r="A23" s="1" t="str">
        <f>IF('Elec Gross'!A23="","",'Elec Gross'!A23)</f>
        <v/>
      </c>
      <c r="B23" s="1" t="str">
        <f>IF('Elec Gross'!B23="","",'Elec Gross'!B23)</f>
        <v/>
      </c>
      <c r="C23" s="1"/>
      <c r="D23" s="34" t="str">
        <f>IF('Elec Gross'!C23="","",'Elec Gross'!C23)</f>
        <v/>
      </c>
      <c r="E23" s="23" t="str">
        <f>IF('Elec Gross'!D23="","",'Elec Gross'!D23)</f>
        <v/>
      </c>
      <c r="F23" s="25" t="str">
        <f>IF('Elec Gross'!E23="","",'Elec Gross'!E23)</f>
        <v/>
      </c>
      <c r="G23" s="23">
        <f>IFERROR(VLOOKUP(A23,Net!$A:$D,3,0),0)</f>
        <v>0</v>
      </c>
      <c r="H23" s="25"/>
      <c r="I23" s="25">
        <f t="shared" si="2"/>
        <v>0</v>
      </c>
      <c r="J23" s="73">
        <f t="shared" si="3"/>
        <v>0</v>
      </c>
      <c r="K23" s="25">
        <f>IFERROR(VLOOKUP(A23,Net!$A:$D,4,0),0)</f>
        <v>0</v>
      </c>
      <c r="L23" s="25"/>
      <c r="M23" s="25">
        <f t="shared" si="4"/>
        <v>0</v>
      </c>
      <c r="N23" s="73">
        <f t="shared" si="5"/>
        <v>0</v>
      </c>
      <c r="O23" s="72">
        <f>'Elec Gross'!N23</f>
        <v>0</v>
      </c>
      <c r="P23" s="72">
        <f>'Elec Gross'!O23</f>
        <v>0</v>
      </c>
      <c r="Q23" s="72">
        <f t="shared" si="6"/>
        <v>0</v>
      </c>
      <c r="R23" s="73">
        <f t="shared" si="7"/>
        <v>0</v>
      </c>
      <c r="S23" s="12"/>
      <c r="T23" s="4"/>
      <c r="U23" s="3"/>
    </row>
    <row r="24" spans="1:21" s="2" customFormat="1" hidden="1" x14ac:dyDescent="0.4">
      <c r="A24" s="1" t="str">
        <f>IF('Elec Gross'!A24="","",'Elec Gross'!A24)</f>
        <v/>
      </c>
      <c r="B24" s="1" t="str">
        <f>IF('Elec Gross'!B24="","",'Elec Gross'!B24)</f>
        <v/>
      </c>
      <c r="C24" s="1"/>
      <c r="D24" s="34" t="str">
        <f>IF('Elec Gross'!C24="","",'Elec Gross'!C24)</f>
        <v/>
      </c>
      <c r="E24" s="23" t="str">
        <f>IF('Elec Gross'!D24="","",'Elec Gross'!D24)</f>
        <v/>
      </c>
      <c r="F24" s="25" t="str">
        <f>IF('Elec Gross'!E24="","",'Elec Gross'!E24)</f>
        <v/>
      </c>
      <c r="G24" s="23">
        <f>IFERROR(VLOOKUP(A24,Net!$A:$D,3,0),0)</f>
        <v>0</v>
      </c>
      <c r="H24" s="25"/>
      <c r="I24" s="25">
        <f t="shared" si="2"/>
        <v>0</v>
      </c>
      <c r="J24" s="73">
        <f t="shared" si="3"/>
        <v>0</v>
      </c>
      <c r="K24" s="25">
        <f>IFERROR(VLOOKUP(A24,Net!$A:$D,4,0),0)</f>
        <v>0</v>
      </c>
      <c r="L24" s="25"/>
      <c r="M24" s="25">
        <f t="shared" si="4"/>
        <v>0</v>
      </c>
      <c r="N24" s="73">
        <f t="shared" si="5"/>
        <v>0</v>
      </c>
      <c r="O24" s="72">
        <f>'Elec Gross'!N24</f>
        <v>0</v>
      </c>
      <c r="P24" s="72">
        <f>'Elec Gross'!O24</f>
        <v>0</v>
      </c>
      <c r="Q24" s="72">
        <f t="shared" si="6"/>
        <v>0</v>
      </c>
      <c r="R24" s="73">
        <f t="shared" si="7"/>
        <v>0</v>
      </c>
      <c r="S24" s="12"/>
      <c r="T24" s="4"/>
      <c r="U24" s="3"/>
    </row>
    <row r="25" spans="1:21" s="2" customFormat="1" hidden="1" x14ac:dyDescent="0.4">
      <c r="A25" s="1" t="str">
        <f>IF('Elec Gross'!A25="","",'Elec Gross'!A25)</f>
        <v/>
      </c>
      <c r="B25" s="1" t="str">
        <f>IF('Elec Gross'!B25="","",'Elec Gross'!B25)</f>
        <v/>
      </c>
      <c r="C25" s="1"/>
      <c r="D25" s="34" t="str">
        <f>IF('Elec Gross'!C25="","",'Elec Gross'!C25)</f>
        <v/>
      </c>
      <c r="E25" s="23" t="str">
        <f>IF('Elec Gross'!D25="","",'Elec Gross'!D25)</f>
        <v/>
      </c>
      <c r="F25" s="25" t="str">
        <f>IF('Elec Gross'!E25="","",'Elec Gross'!E25)</f>
        <v/>
      </c>
      <c r="G25" s="23">
        <f>IFERROR(VLOOKUP(A25,Net!$A:$D,3,0),0)</f>
        <v>0</v>
      </c>
      <c r="H25" s="25"/>
      <c r="I25" s="25">
        <f t="shared" si="2"/>
        <v>0</v>
      </c>
      <c r="J25" s="73">
        <f t="shared" si="3"/>
        <v>0</v>
      </c>
      <c r="K25" s="25">
        <f>IFERROR(VLOOKUP(A25,Net!$A:$D,4,0),0)</f>
        <v>0</v>
      </c>
      <c r="L25" s="25"/>
      <c r="M25" s="25">
        <f t="shared" si="4"/>
        <v>0</v>
      </c>
      <c r="N25" s="73">
        <f t="shared" si="5"/>
        <v>0</v>
      </c>
      <c r="O25" s="72">
        <f>'Elec Gross'!N25</f>
        <v>0</v>
      </c>
      <c r="P25" s="72">
        <f>'Elec Gross'!O25</f>
        <v>0</v>
      </c>
      <c r="Q25" s="72">
        <f t="shared" si="6"/>
        <v>0</v>
      </c>
      <c r="R25" s="73">
        <f t="shared" si="7"/>
        <v>0</v>
      </c>
      <c r="S25" s="12"/>
      <c r="U25" s="5"/>
    </row>
    <row r="26" spans="1:21" s="2" customFormat="1" hidden="1" x14ac:dyDescent="0.4">
      <c r="A26" s="1" t="str">
        <f>IF('Elec Gross'!A26="","",'Elec Gross'!A26)</f>
        <v/>
      </c>
      <c r="B26" s="1" t="str">
        <f>IF('Elec Gross'!B26="","",'Elec Gross'!B26)</f>
        <v/>
      </c>
      <c r="C26" s="1"/>
      <c r="D26" s="34" t="str">
        <f>IF('Elec Gross'!C26="","",'Elec Gross'!C26)</f>
        <v/>
      </c>
      <c r="E26" s="23" t="str">
        <f>IF('Elec Gross'!D26="","",'Elec Gross'!D26)</f>
        <v/>
      </c>
      <c r="F26" s="25" t="str">
        <f>IF('Elec Gross'!E26="","",'Elec Gross'!E26)</f>
        <v/>
      </c>
      <c r="G26" s="23">
        <f>IFERROR(VLOOKUP(A26,Net!$A:$D,3,0),0)</f>
        <v>0</v>
      </c>
      <c r="H26" s="25"/>
      <c r="I26" s="25">
        <f t="shared" si="2"/>
        <v>0</v>
      </c>
      <c r="J26" s="73">
        <f t="shared" si="3"/>
        <v>0</v>
      </c>
      <c r="K26" s="25">
        <f>IFERROR(VLOOKUP(A26,Net!$A:$D,4,0),0)</f>
        <v>0</v>
      </c>
      <c r="L26" s="25"/>
      <c r="M26" s="25">
        <f t="shared" si="4"/>
        <v>0</v>
      </c>
      <c r="N26" s="73">
        <f t="shared" si="5"/>
        <v>0</v>
      </c>
      <c r="O26" s="72">
        <f>'Elec Gross'!N26</f>
        <v>0</v>
      </c>
      <c r="P26" s="72">
        <f>'Elec Gross'!O26</f>
        <v>0</v>
      </c>
      <c r="Q26" s="72">
        <f t="shared" si="6"/>
        <v>0</v>
      </c>
      <c r="R26" s="73">
        <f t="shared" si="7"/>
        <v>0</v>
      </c>
      <c r="S26" s="12"/>
      <c r="U26" s="5"/>
    </row>
    <row r="27" spans="1:21" s="2" customFormat="1" hidden="1" x14ac:dyDescent="0.4">
      <c r="A27" s="1" t="str">
        <f>IF('Elec Gross'!A27="","",'Elec Gross'!A27)</f>
        <v/>
      </c>
      <c r="B27" s="1" t="str">
        <f>IF('Elec Gross'!B27="","",'Elec Gross'!B27)</f>
        <v/>
      </c>
      <c r="C27" s="1"/>
      <c r="D27" s="34" t="str">
        <f>IF('Elec Gross'!C27="","",'Elec Gross'!C27)</f>
        <v/>
      </c>
      <c r="E27" s="23" t="str">
        <f>IF('Elec Gross'!D27="","",'Elec Gross'!D27)</f>
        <v/>
      </c>
      <c r="F27" s="25" t="str">
        <f>IF('Elec Gross'!E27="","",'Elec Gross'!E27)</f>
        <v/>
      </c>
      <c r="G27" s="23">
        <f>IFERROR(VLOOKUP(A27,Net!$A:$D,3,0),0)</f>
        <v>0</v>
      </c>
      <c r="H27" s="25"/>
      <c r="I27" s="25">
        <f t="shared" ref="I27:I58" si="8">H27-G27</f>
        <v>0</v>
      </c>
      <c r="J27" s="73">
        <f t="shared" ref="J27:J58" si="9">IF(G27&gt;0,I27/G27,0)</f>
        <v>0</v>
      </c>
      <c r="K27" s="25">
        <f>IFERROR(VLOOKUP(A27,Net!$A:$D,4,0),0)</f>
        <v>0</v>
      </c>
      <c r="L27" s="25"/>
      <c r="M27" s="25">
        <f t="shared" ref="M27:M58" si="10">L27-K27</f>
        <v>0</v>
      </c>
      <c r="N27" s="73">
        <f t="shared" ref="N27:N58" si="11">IF(K27&gt;0,M27/K27,0)</f>
        <v>0</v>
      </c>
      <c r="O27" s="72">
        <f>'Elec Gross'!N27</f>
        <v>0</v>
      </c>
      <c r="P27" s="72">
        <f>'Elec Gross'!O27</f>
        <v>0</v>
      </c>
      <c r="Q27" s="72">
        <f t="shared" ref="Q27:Q58" si="12">P27-O27</f>
        <v>0</v>
      </c>
      <c r="R27" s="73">
        <f t="shared" ref="R27:R58" si="13">IF(O27&gt;0,Q27/O27,0)</f>
        <v>0</v>
      </c>
      <c r="S27" s="12"/>
      <c r="U27" s="5"/>
    </row>
    <row r="28" spans="1:21" s="2" customFormat="1" hidden="1" x14ac:dyDescent="0.4">
      <c r="A28" s="1" t="str">
        <f>IF('Elec Gross'!A28="","",'Elec Gross'!A28)</f>
        <v/>
      </c>
      <c r="B28" s="1" t="str">
        <f>IF('Elec Gross'!B28="","",'Elec Gross'!B28)</f>
        <v/>
      </c>
      <c r="C28" s="1"/>
      <c r="D28" s="34" t="str">
        <f>IF('Elec Gross'!C28="","",'Elec Gross'!C28)</f>
        <v/>
      </c>
      <c r="E28" s="23" t="str">
        <f>IF('Elec Gross'!D28="","",'Elec Gross'!D28)</f>
        <v/>
      </c>
      <c r="F28" s="25" t="str">
        <f>IF('Elec Gross'!E28="","",'Elec Gross'!E28)</f>
        <v/>
      </c>
      <c r="G28" s="23">
        <f>IFERROR(VLOOKUP(A28,Net!$A:$D,3,0),0)</f>
        <v>0</v>
      </c>
      <c r="H28" s="25"/>
      <c r="I28" s="25">
        <f t="shared" si="8"/>
        <v>0</v>
      </c>
      <c r="J28" s="73">
        <f t="shared" si="9"/>
        <v>0</v>
      </c>
      <c r="K28" s="25">
        <f>IFERROR(VLOOKUP(A28,Net!$A:$D,4,0),0)</f>
        <v>0</v>
      </c>
      <c r="L28" s="25"/>
      <c r="M28" s="25">
        <f t="shared" si="10"/>
        <v>0</v>
      </c>
      <c r="N28" s="73">
        <f t="shared" si="11"/>
        <v>0</v>
      </c>
      <c r="O28" s="72">
        <f>'Elec Gross'!N28</f>
        <v>0</v>
      </c>
      <c r="P28" s="72">
        <f>'Elec Gross'!O28</f>
        <v>0</v>
      </c>
      <c r="Q28" s="72">
        <f t="shared" si="12"/>
        <v>0</v>
      </c>
      <c r="R28" s="73">
        <f t="shared" si="13"/>
        <v>0</v>
      </c>
      <c r="S28" s="12"/>
      <c r="U28" s="5"/>
    </row>
    <row r="29" spans="1:21" s="2" customFormat="1" hidden="1" x14ac:dyDescent="0.4">
      <c r="A29" s="1" t="str">
        <f>IF('Elec Gross'!A29="","",'Elec Gross'!A29)</f>
        <v/>
      </c>
      <c r="B29" s="1" t="str">
        <f>IF('Elec Gross'!B29="","",'Elec Gross'!B29)</f>
        <v/>
      </c>
      <c r="C29" s="1"/>
      <c r="D29" s="34" t="str">
        <f>IF('Elec Gross'!C29="","",'Elec Gross'!C29)</f>
        <v/>
      </c>
      <c r="E29" s="23" t="str">
        <f>IF('Elec Gross'!D29="","",'Elec Gross'!D29)</f>
        <v/>
      </c>
      <c r="F29" s="25" t="str">
        <f>IF('Elec Gross'!E29="","",'Elec Gross'!E29)</f>
        <v/>
      </c>
      <c r="G29" s="23">
        <f>IFERROR(VLOOKUP(A29,Net!$A:$D,3,0),0)</f>
        <v>0</v>
      </c>
      <c r="H29" s="25"/>
      <c r="I29" s="25">
        <f t="shared" si="8"/>
        <v>0</v>
      </c>
      <c r="J29" s="73">
        <f t="shared" si="9"/>
        <v>0</v>
      </c>
      <c r="K29" s="25">
        <f>IFERROR(VLOOKUP(A29,Net!$A:$D,4,0),0)</f>
        <v>0</v>
      </c>
      <c r="L29" s="25"/>
      <c r="M29" s="25">
        <f t="shared" si="10"/>
        <v>0</v>
      </c>
      <c r="N29" s="73">
        <f t="shared" si="11"/>
        <v>0</v>
      </c>
      <c r="O29" s="72">
        <f>'Elec Gross'!N29</f>
        <v>0</v>
      </c>
      <c r="P29" s="72">
        <f>'Elec Gross'!O29</f>
        <v>0</v>
      </c>
      <c r="Q29" s="72">
        <f t="shared" si="12"/>
        <v>0</v>
      </c>
      <c r="R29" s="73">
        <f t="shared" si="13"/>
        <v>0</v>
      </c>
      <c r="S29" s="12"/>
      <c r="U29" s="5"/>
    </row>
    <row r="30" spans="1:21" s="2" customFormat="1" hidden="1" x14ac:dyDescent="0.4">
      <c r="A30" s="1" t="str">
        <f>IF('Elec Gross'!A30="","",'Elec Gross'!A30)</f>
        <v/>
      </c>
      <c r="B30" s="1" t="str">
        <f>IF('Elec Gross'!B30="","",'Elec Gross'!B30)</f>
        <v/>
      </c>
      <c r="C30" s="1"/>
      <c r="D30" s="34" t="str">
        <f>IF('Elec Gross'!C30="","",'Elec Gross'!C30)</f>
        <v/>
      </c>
      <c r="E30" s="23" t="str">
        <f>IF('Elec Gross'!D30="","",'Elec Gross'!D30)</f>
        <v/>
      </c>
      <c r="F30" s="25" t="str">
        <f>IF('Elec Gross'!E30="","",'Elec Gross'!E30)</f>
        <v/>
      </c>
      <c r="G30" s="23">
        <f>IFERROR(VLOOKUP(A30,Net!$A:$D,3,0),0)</f>
        <v>0</v>
      </c>
      <c r="H30" s="25"/>
      <c r="I30" s="25">
        <f t="shared" si="8"/>
        <v>0</v>
      </c>
      <c r="J30" s="73">
        <f t="shared" si="9"/>
        <v>0</v>
      </c>
      <c r="K30" s="25">
        <f>IFERROR(VLOOKUP(A30,Net!$A:$D,4,0),0)</f>
        <v>0</v>
      </c>
      <c r="L30" s="25"/>
      <c r="M30" s="25">
        <f t="shared" si="10"/>
        <v>0</v>
      </c>
      <c r="N30" s="73">
        <f t="shared" si="11"/>
        <v>0</v>
      </c>
      <c r="O30" s="72">
        <f>'Elec Gross'!N30</f>
        <v>0</v>
      </c>
      <c r="P30" s="72">
        <f>'Elec Gross'!O30</f>
        <v>0</v>
      </c>
      <c r="Q30" s="72">
        <f t="shared" si="12"/>
        <v>0</v>
      </c>
      <c r="R30" s="73">
        <f t="shared" si="13"/>
        <v>0</v>
      </c>
      <c r="S30" s="12"/>
      <c r="U30" s="5"/>
    </row>
    <row r="31" spans="1:21" s="2" customFormat="1" hidden="1" x14ac:dyDescent="0.4">
      <c r="A31" s="1" t="str">
        <f>IF('Elec Gross'!A31="","",'Elec Gross'!A31)</f>
        <v/>
      </c>
      <c r="B31" s="1" t="str">
        <f>IF('Elec Gross'!B31="","",'Elec Gross'!B31)</f>
        <v/>
      </c>
      <c r="C31" s="1"/>
      <c r="D31" s="34" t="str">
        <f>IF('Elec Gross'!C31="","",'Elec Gross'!C31)</f>
        <v/>
      </c>
      <c r="E31" s="23" t="str">
        <f>IF('Elec Gross'!D31="","",'Elec Gross'!D31)</f>
        <v/>
      </c>
      <c r="F31" s="25" t="str">
        <f>IF('Elec Gross'!E31="","",'Elec Gross'!E31)</f>
        <v/>
      </c>
      <c r="G31" s="23">
        <f>IFERROR(VLOOKUP(A31,Net!$A:$D,3,0),0)</f>
        <v>0</v>
      </c>
      <c r="H31" s="25"/>
      <c r="I31" s="25">
        <f t="shared" si="8"/>
        <v>0</v>
      </c>
      <c r="J31" s="73">
        <f t="shared" si="9"/>
        <v>0</v>
      </c>
      <c r="K31" s="25">
        <f>IFERROR(VLOOKUP(A31,Net!$A:$D,4,0),0)</f>
        <v>0</v>
      </c>
      <c r="L31" s="25"/>
      <c r="M31" s="25">
        <f t="shared" si="10"/>
        <v>0</v>
      </c>
      <c r="N31" s="73">
        <f t="shared" si="11"/>
        <v>0</v>
      </c>
      <c r="O31" s="72">
        <f>'Elec Gross'!N31</f>
        <v>0</v>
      </c>
      <c r="P31" s="72">
        <f>'Elec Gross'!O31</f>
        <v>0</v>
      </c>
      <c r="Q31" s="72">
        <f t="shared" si="12"/>
        <v>0</v>
      </c>
      <c r="R31" s="73">
        <f t="shared" si="13"/>
        <v>0</v>
      </c>
      <c r="S31" s="12"/>
      <c r="U31" s="5"/>
    </row>
    <row r="32" spans="1:21" s="2" customFormat="1" hidden="1" x14ac:dyDescent="0.4">
      <c r="A32" s="1" t="str">
        <f>IF('Elec Gross'!A32="","",'Elec Gross'!A32)</f>
        <v/>
      </c>
      <c r="B32" s="1" t="str">
        <f>IF('Elec Gross'!B32="","",'Elec Gross'!B32)</f>
        <v/>
      </c>
      <c r="C32" s="1"/>
      <c r="D32" s="34" t="str">
        <f>IF('Elec Gross'!C32="","",'Elec Gross'!C32)</f>
        <v/>
      </c>
      <c r="E32" s="23" t="str">
        <f>IF('Elec Gross'!D32="","",'Elec Gross'!D32)</f>
        <v/>
      </c>
      <c r="F32" s="25" t="str">
        <f>IF('Elec Gross'!E32="","",'Elec Gross'!E32)</f>
        <v/>
      </c>
      <c r="G32" s="23">
        <f>IFERROR(VLOOKUP(A32,Net!$A:$D,3,0),0)</f>
        <v>0</v>
      </c>
      <c r="H32" s="25"/>
      <c r="I32" s="25">
        <f t="shared" si="8"/>
        <v>0</v>
      </c>
      <c r="J32" s="73">
        <f t="shared" si="9"/>
        <v>0</v>
      </c>
      <c r="K32" s="25">
        <f>IFERROR(VLOOKUP(A32,Net!$A:$D,4,0),0)</f>
        <v>0</v>
      </c>
      <c r="L32" s="25"/>
      <c r="M32" s="25">
        <f t="shared" si="10"/>
        <v>0</v>
      </c>
      <c r="N32" s="73">
        <f t="shared" si="11"/>
        <v>0</v>
      </c>
      <c r="O32" s="72">
        <f>'Elec Gross'!N32</f>
        <v>0</v>
      </c>
      <c r="P32" s="72">
        <f>'Elec Gross'!O32</f>
        <v>0</v>
      </c>
      <c r="Q32" s="72">
        <f t="shared" si="12"/>
        <v>0</v>
      </c>
      <c r="R32" s="73">
        <f t="shared" si="13"/>
        <v>0</v>
      </c>
      <c r="S32" s="12"/>
      <c r="U32" s="5"/>
    </row>
    <row r="33" spans="1:21" s="2" customFormat="1" hidden="1" x14ac:dyDescent="0.4">
      <c r="A33" s="1" t="str">
        <f>IF('Elec Gross'!A33="","",'Elec Gross'!A33)</f>
        <v/>
      </c>
      <c r="B33" s="1" t="str">
        <f>IF('Elec Gross'!B33="","",'Elec Gross'!B33)</f>
        <v/>
      </c>
      <c r="C33" s="1"/>
      <c r="D33" s="34" t="str">
        <f>IF('Elec Gross'!C33="","",'Elec Gross'!C33)</f>
        <v/>
      </c>
      <c r="E33" s="23" t="str">
        <f>IF('Elec Gross'!D33="","",'Elec Gross'!D33)</f>
        <v/>
      </c>
      <c r="F33" s="25" t="str">
        <f>IF('Elec Gross'!E33="","",'Elec Gross'!E33)</f>
        <v/>
      </c>
      <c r="G33" s="23">
        <f>IFERROR(VLOOKUP(A33,Net!$A:$D,3,0),0)</f>
        <v>0</v>
      </c>
      <c r="H33" s="25"/>
      <c r="I33" s="25">
        <f t="shared" si="8"/>
        <v>0</v>
      </c>
      <c r="J33" s="73">
        <f t="shared" si="9"/>
        <v>0</v>
      </c>
      <c r="K33" s="25">
        <f>IFERROR(VLOOKUP(A33,Net!$A:$D,4,0),0)</f>
        <v>0</v>
      </c>
      <c r="L33" s="25"/>
      <c r="M33" s="25">
        <f t="shared" si="10"/>
        <v>0</v>
      </c>
      <c r="N33" s="73">
        <f t="shared" si="11"/>
        <v>0</v>
      </c>
      <c r="O33" s="72">
        <f>'Elec Gross'!N33</f>
        <v>0</v>
      </c>
      <c r="P33" s="72">
        <f>'Elec Gross'!O33</f>
        <v>0</v>
      </c>
      <c r="Q33" s="72">
        <f t="shared" si="12"/>
        <v>0</v>
      </c>
      <c r="R33" s="73">
        <f t="shared" si="13"/>
        <v>0</v>
      </c>
      <c r="S33" s="12"/>
      <c r="U33" s="5"/>
    </row>
    <row r="34" spans="1:21" s="2" customFormat="1" hidden="1" x14ac:dyDescent="0.4">
      <c r="A34" s="1" t="str">
        <f>IF('Elec Gross'!A34="","",'Elec Gross'!A34)</f>
        <v/>
      </c>
      <c r="B34" s="1" t="str">
        <f>IF('Elec Gross'!B34="","",'Elec Gross'!B34)</f>
        <v/>
      </c>
      <c r="C34" s="1"/>
      <c r="D34" s="34" t="str">
        <f>IF('Elec Gross'!C34="","",'Elec Gross'!C34)</f>
        <v/>
      </c>
      <c r="E34" s="23" t="str">
        <f>IF('Elec Gross'!D34="","",'Elec Gross'!D34)</f>
        <v/>
      </c>
      <c r="F34" s="25" t="str">
        <f>IF('Elec Gross'!E34="","",'Elec Gross'!E34)</f>
        <v/>
      </c>
      <c r="G34" s="23">
        <f>IFERROR(VLOOKUP(A34,Net!$A:$D,3,0),0)</f>
        <v>0</v>
      </c>
      <c r="H34" s="25"/>
      <c r="I34" s="25">
        <f t="shared" si="8"/>
        <v>0</v>
      </c>
      <c r="J34" s="73">
        <f t="shared" si="9"/>
        <v>0</v>
      </c>
      <c r="K34" s="25">
        <f>IFERROR(VLOOKUP(A34,Net!$A:$D,4,0),0)</f>
        <v>0</v>
      </c>
      <c r="L34" s="25"/>
      <c r="M34" s="25">
        <f t="shared" si="10"/>
        <v>0</v>
      </c>
      <c r="N34" s="73">
        <f t="shared" si="11"/>
        <v>0</v>
      </c>
      <c r="O34" s="72">
        <f>'Elec Gross'!N34</f>
        <v>0</v>
      </c>
      <c r="P34" s="72">
        <f>'Elec Gross'!O34</f>
        <v>0</v>
      </c>
      <c r="Q34" s="72">
        <f t="shared" si="12"/>
        <v>0</v>
      </c>
      <c r="R34" s="73">
        <f t="shared" si="13"/>
        <v>0</v>
      </c>
      <c r="S34" s="12"/>
      <c r="U34" s="5"/>
    </row>
    <row r="35" spans="1:21" s="2" customFormat="1" hidden="1" x14ac:dyDescent="0.4">
      <c r="A35" s="1" t="str">
        <f>IF('Elec Gross'!A35="","",'Elec Gross'!A35)</f>
        <v/>
      </c>
      <c r="B35" s="1" t="str">
        <f>IF('Elec Gross'!B35="","",'Elec Gross'!B35)</f>
        <v/>
      </c>
      <c r="C35" s="1"/>
      <c r="D35" s="34" t="str">
        <f>IF('Elec Gross'!C35="","",'Elec Gross'!C35)</f>
        <v/>
      </c>
      <c r="E35" s="23" t="str">
        <f>IF('Elec Gross'!D35="","",'Elec Gross'!D35)</f>
        <v/>
      </c>
      <c r="F35" s="25" t="str">
        <f>IF('Elec Gross'!E35="","",'Elec Gross'!E35)</f>
        <v/>
      </c>
      <c r="G35" s="23">
        <f>IFERROR(VLOOKUP(A35,Net!$A:$D,3,0),0)</f>
        <v>0</v>
      </c>
      <c r="H35" s="25"/>
      <c r="I35" s="25">
        <f t="shared" si="8"/>
        <v>0</v>
      </c>
      <c r="J35" s="73">
        <f t="shared" si="9"/>
        <v>0</v>
      </c>
      <c r="K35" s="25">
        <f>IFERROR(VLOOKUP(A35,Net!$A:$D,4,0),0)</f>
        <v>0</v>
      </c>
      <c r="L35" s="25"/>
      <c r="M35" s="25">
        <f t="shared" si="10"/>
        <v>0</v>
      </c>
      <c r="N35" s="73">
        <f t="shared" si="11"/>
        <v>0</v>
      </c>
      <c r="O35" s="72">
        <f>'Elec Gross'!N35</f>
        <v>0</v>
      </c>
      <c r="P35" s="72">
        <f>'Elec Gross'!O35</f>
        <v>0</v>
      </c>
      <c r="Q35" s="72">
        <f t="shared" si="12"/>
        <v>0</v>
      </c>
      <c r="R35" s="73">
        <f t="shared" si="13"/>
        <v>0</v>
      </c>
      <c r="S35" s="12"/>
      <c r="U35" s="5"/>
    </row>
    <row r="36" spans="1:21" s="2" customFormat="1" hidden="1" x14ac:dyDescent="0.4">
      <c r="A36" s="1" t="str">
        <f>IF('Elec Gross'!A36="","",'Elec Gross'!A36)</f>
        <v/>
      </c>
      <c r="B36" s="1" t="str">
        <f>IF('Elec Gross'!B36="","",'Elec Gross'!B36)</f>
        <v/>
      </c>
      <c r="C36" s="1"/>
      <c r="D36" s="34" t="str">
        <f>IF('Elec Gross'!C36="","",'Elec Gross'!C36)</f>
        <v/>
      </c>
      <c r="E36" s="23" t="str">
        <f>IF('Elec Gross'!D36="","",'Elec Gross'!D36)</f>
        <v/>
      </c>
      <c r="F36" s="25" t="str">
        <f>IF('Elec Gross'!E36="","",'Elec Gross'!E36)</f>
        <v/>
      </c>
      <c r="G36" s="23">
        <f>IFERROR(VLOOKUP(A36,Net!$A:$D,3,0),0)</f>
        <v>0</v>
      </c>
      <c r="H36" s="25"/>
      <c r="I36" s="25">
        <f t="shared" si="8"/>
        <v>0</v>
      </c>
      <c r="J36" s="73">
        <f t="shared" si="9"/>
        <v>0</v>
      </c>
      <c r="K36" s="25">
        <f>IFERROR(VLOOKUP(A36,Net!$A:$D,4,0),0)</f>
        <v>0</v>
      </c>
      <c r="L36" s="25"/>
      <c r="M36" s="25">
        <f t="shared" si="10"/>
        <v>0</v>
      </c>
      <c r="N36" s="73">
        <f t="shared" si="11"/>
        <v>0</v>
      </c>
      <c r="O36" s="72">
        <f>'Elec Gross'!N36</f>
        <v>0</v>
      </c>
      <c r="P36" s="72">
        <f>'Elec Gross'!O36</f>
        <v>0</v>
      </c>
      <c r="Q36" s="72">
        <f t="shared" si="12"/>
        <v>0</v>
      </c>
      <c r="R36" s="73">
        <f t="shared" si="13"/>
        <v>0</v>
      </c>
      <c r="S36" s="12"/>
      <c r="U36" s="5"/>
    </row>
    <row r="37" spans="1:21" s="2" customFormat="1" hidden="1" x14ac:dyDescent="0.4">
      <c r="A37" s="1" t="str">
        <f>IF('Elec Gross'!A37="","",'Elec Gross'!A37)</f>
        <v/>
      </c>
      <c r="B37" s="1" t="str">
        <f>IF('Elec Gross'!B37="","",'Elec Gross'!B37)</f>
        <v/>
      </c>
      <c r="C37" s="1"/>
      <c r="D37" s="34" t="str">
        <f>IF('Elec Gross'!C37="","",'Elec Gross'!C37)</f>
        <v/>
      </c>
      <c r="E37" s="23" t="str">
        <f>IF('Elec Gross'!D37="","",'Elec Gross'!D37)</f>
        <v/>
      </c>
      <c r="F37" s="25" t="str">
        <f>IF('Elec Gross'!E37="","",'Elec Gross'!E37)</f>
        <v/>
      </c>
      <c r="G37" s="23">
        <f>IFERROR(VLOOKUP(A37,Net!$A:$D,3,0),0)</f>
        <v>0</v>
      </c>
      <c r="H37" s="25"/>
      <c r="I37" s="25">
        <f t="shared" si="8"/>
        <v>0</v>
      </c>
      <c r="J37" s="73">
        <f t="shared" si="9"/>
        <v>0</v>
      </c>
      <c r="K37" s="25">
        <f>IFERROR(VLOOKUP(A37,Net!$A:$D,4,0),0)</f>
        <v>0</v>
      </c>
      <c r="L37" s="25"/>
      <c r="M37" s="25">
        <f t="shared" si="10"/>
        <v>0</v>
      </c>
      <c r="N37" s="73">
        <f t="shared" si="11"/>
        <v>0</v>
      </c>
      <c r="O37" s="72">
        <f>'Elec Gross'!N37</f>
        <v>0</v>
      </c>
      <c r="P37" s="72">
        <f>'Elec Gross'!O37</f>
        <v>0</v>
      </c>
      <c r="Q37" s="72">
        <f t="shared" si="12"/>
        <v>0</v>
      </c>
      <c r="R37" s="73">
        <f t="shared" si="13"/>
        <v>0</v>
      </c>
      <c r="S37" s="12"/>
      <c r="U37" s="5"/>
    </row>
    <row r="38" spans="1:21" s="2" customFormat="1" hidden="1" x14ac:dyDescent="0.4">
      <c r="A38" s="1" t="str">
        <f>IF('Elec Gross'!A38="","",'Elec Gross'!A38)</f>
        <v/>
      </c>
      <c r="B38" s="1" t="str">
        <f>IF('Elec Gross'!B38="","",'Elec Gross'!B38)</f>
        <v/>
      </c>
      <c r="C38" s="1"/>
      <c r="D38" s="34" t="str">
        <f>IF('Elec Gross'!C38="","",'Elec Gross'!C38)</f>
        <v/>
      </c>
      <c r="E38" s="23" t="str">
        <f>IF('Elec Gross'!D38="","",'Elec Gross'!D38)</f>
        <v/>
      </c>
      <c r="F38" s="25" t="str">
        <f>IF('Elec Gross'!E38="","",'Elec Gross'!E38)</f>
        <v/>
      </c>
      <c r="G38" s="23">
        <f>IFERROR(VLOOKUP(A38,Net!$A:$D,3,0),0)</f>
        <v>0</v>
      </c>
      <c r="H38" s="25"/>
      <c r="I38" s="25">
        <f t="shared" si="8"/>
        <v>0</v>
      </c>
      <c r="J38" s="73">
        <f t="shared" si="9"/>
        <v>0</v>
      </c>
      <c r="K38" s="25">
        <f>IFERROR(VLOOKUP(A38,Net!$A:$D,4,0),0)</f>
        <v>0</v>
      </c>
      <c r="L38" s="25"/>
      <c r="M38" s="25">
        <f t="shared" si="10"/>
        <v>0</v>
      </c>
      <c r="N38" s="73">
        <f t="shared" si="11"/>
        <v>0</v>
      </c>
      <c r="O38" s="72">
        <f>'Elec Gross'!N38</f>
        <v>0</v>
      </c>
      <c r="P38" s="72">
        <f>'Elec Gross'!O38</f>
        <v>0</v>
      </c>
      <c r="Q38" s="72">
        <f t="shared" si="12"/>
        <v>0</v>
      </c>
      <c r="R38" s="73">
        <f t="shared" si="13"/>
        <v>0</v>
      </c>
      <c r="S38" s="12"/>
      <c r="U38" s="5"/>
    </row>
    <row r="39" spans="1:21" s="2" customFormat="1" hidden="1" x14ac:dyDescent="0.4">
      <c r="A39" s="1" t="str">
        <f>IF('Elec Gross'!A39="","",'Elec Gross'!A39)</f>
        <v/>
      </c>
      <c r="B39" s="1" t="str">
        <f>IF('Elec Gross'!B39="","",'Elec Gross'!B39)</f>
        <v/>
      </c>
      <c r="C39" s="1"/>
      <c r="D39" s="34" t="str">
        <f>IF('Elec Gross'!C39="","",'Elec Gross'!C39)</f>
        <v/>
      </c>
      <c r="E39" s="23" t="str">
        <f>IF('Elec Gross'!D39="","",'Elec Gross'!D39)</f>
        <v/>
      </c>
      <c r="F39" s="25" t="str">
        <f>IF('Elec Gross'!E39="","",'Elec Gross'!E39)</f>
        <v/>
      </c>
      <c r="G39" s="23">
        <f>IFERROR(VLOOKUP(A39,Net!$A:$D,3,0),0)</f>
        <v>0</v>
      </c>
      <c r="H39" s="25"/>
      <c r="I39" s="25">
        <f t="shared" si="8"/>
        <v>0</v>
      </c>
      <c r="J39" s="73">
        <f t="shared" si="9"/>
        <v>0</v>
      </c>
      <c r="K39" s="25">
        <f>IFERROR(VLOOKUP(A39,Net!$A:$D,4,0),0)</f>
        <v>0</v>
      </c>
      <c r="L39" s="25"/>
      <c r="M39" s="25">
        <f t="shared" si="10"/>
        <v>0</v>
      </c>
      <c r="N39" s="73">
        <f t="shared" si="11"/>
        <v>0</v>
      </c>
      <c r="O39" s="72">
        <f>'Elec Gross'!N39</f>
        <v>0</v>
      </c>
      <c r="P39" s="72">
        <f>'Elec Gross'!O39</f>
        <v>0</v>
      </c>
      <c r="Q39" s="72">
        <f t="shared" si="12"/>
        <v>0</v>
      </c>
      <c r="R39" s="73">
        <f t="shared" si="13"/>
        <v>0</v>
      </c>
      <c r="S39" s="12"/>
      <c r="U39" s="5"/>
    </row>
    <row r="40" spans="1:21" s="2" customFormat="1" hidden="1" x14ac:dyDescent="0.4">
      <c r="A40" s="1" t="str">
        <f>IF('Elec Gross'!A40="","",'Elec Gross'!A40)</f>
        <v/>
      </c>
      <c r="B40" s="1" t="str">
        <f>IF('Elec Gross'!B40="","",'Elec Gross'!B40)</f>
        <v/>
      </c>
      <c r="C40" s="1"/>
      <c r="D40" s="34" t="str">
        <f>IF('Elec Gross'!C40="","",'Elec Gross'!C40)</f>
        <v/>
      </c>
      <c r="E40" s="23" t="str">
        <f>IF('Elec Gross'!D40="","",'Elec Gross'!D40)</f>
        <v/>
      </c>
      <c r="F40" s="25" t="str">
        <f>IF('Elec Gross'!E40="","",'Elec Gross'!E40)</f>
        <v/>
      </c>
      <c r="G40" s="23">
        <f>IFERROR(VLOOKUP(A40,Net!$A:$D,3,0),0)</f>
        <v>0</v>
      </c>
      <c r="H40" s="25"/>
      <c r="I40" s="25">
        <f t="shared" si="8"/>
        <v>0</v>
      </c>
      <c r="J40" s="73">
        <f t="shared" si="9"/>
        <v>0</v>
      </c>
      <c r="K40" s="25">
        <f>IFERROR(VLOOKUP(A40,Net!$A:$D,4,0),0)</f>
        <v>0</v>
      </c>
      <c r="L40" s="25"/>
      <c r="M40" s="25">
        <f t="shared" si="10"/>
        <v>0</v>
      </c>
      <c r="N40" s="73">
        <f t="shared" si="11"/>
        <v>0</v>
      </c>
      <c r="O40" s="72">
        <f>'Elec Gross'!N40</f>
        <v>0</v>
      </c>
      <c r="P40" s="72">
        <f>'Elec Gross'!O40</f>
        <v>0</v>
      </c>
      <c r="Q40" s="72">
        <f t="shared" si="12"/>
        <v>0</v>
      </c>
      <c r="R40" s="73">
        <f t="shared" si="13"/>
        <v>0</v>
      </c>
      <c r="S40" s="12"/>
      <c r="U40" s="5"/>
    </row>
    <row r="41" spans="1:21" s="2" customFormat="1" hidden="1" x14ac:dyDescent="0.4">
      <c r="A41" s="1" t="str">
        <f>IF('Elec Gross'!A41="","",'Elec Gross'!A41)</f>
        <v/>
      </c>
      <c r="B41" s="1" t="str">
        <f>IF('Elec Gross'!B41="","",'Elec Gross'!B41)</f>
        <v/>
      </c>
      <c r="C41" s="1"/>
      <c r="D41" s="34" t="str">
        <f>IF('Elec Gross'!C41="","",'Elec Gross'!C41)</f>
        <v/>
      </c>
      <c r="E41" s="23" t="str">
        <f>IF('Elec Gross'!D41="","",'Elec Gross'!D41)</f>
        <v/>
      </c>
      <c r="F41" s="25" t="str">
        <f>IF('Elec Gross'!E41="","",'Elec Gross'!E41)</f>
        <v/>
      </c>
      <c r="G41" s="23">
        <f>IFERROR(VLOOKUP(A41,Net!$A:$D,3,0),0)</f>
        <v>0</v>
      </c>
      <c r="H41" s="25"/>
      <c r="I41" s="25">
        <f t="shared" si="8"/>
        <v>0</v>
      </c>
      <c r="J41" s="73">
        <f t="shared" si="9"/>
        <v>0</v>
      </c>
      <c r="K41" s="25">
        <f>IFERROR(VLOOKUP(A41,Net!$A:$D,4,0),0)</f>
        <v>0</v>
      </c>
      <c r="L41" s="25"/>
      <c r="M41" s="25">
        <f t="shared" si="10"/>
        <v>0</v>
      </c>
      <c r="N41" s="73">
        <f t="shared" si="11"/>
        <v>0</v>
      </c>
      <c r="O41" s="72">
        <f>'Elec Gross'!N41</f>
        <v>0</v>
      </c>
      <c r="P41" s="72">
        <f>'Elec Gross'!O41</f>
        <v>0</v>
      </c>
      <c r="Q41" s="72">
        <f t="shared" si="12"/>
        <v>0</v>
      </c>
      <c r="R41" s="73">
        <f t="shared" si="13"/>
        <v>0</v>
      </c>
      <c r="S41" s="12"/>
      <c r="U41" s="5"/>
    </row>
    <row r="42" spans="1:21" s="2" customFormat="1" hidden="1" x14ac:dyDescent="0.4">
      <c r="A42" s="1" t="str">
        <f>IF('Elec Gross'!A42="","",'Elec Gross'!A42)</f>
        <v/>
      </c>
      <c r="B42" s="1" t="str">
        <f>IF('Elec Gross'!B42="","",'Elec Gross'!B42)</f>
        <v/>
      </c>
      <c r="C42" s="1"/>
      <c r="D42" s="34" t="str">
        <f>IF('Elec Gross'!C42="","",'Elec Gross'!C42)</f>
        <v/>
      </c>
      <c r="E42" s="23" t="str">
        <f>IF('Elec Gross'!D42="","",'Elec Gross'!D42)</f>
        <v/>
      </c>
      <c r="F42" s="25" t="str">
        <f>IF('Elec Gross'!E42="","",'Elec Gross'!E42)</f>
        <v/>
      </c>
      <c r="G42" s="23">
        <f>IFERROR(VLOOKUP(A42,Net!$A:$D,3,0),0)</f>
        <v>0</v>
      </c>
      <c r="H42" s="25"/>
      <c r="I42" s="25">
        <f t="shared" si="8"/>
        <v>0</v>
      </c>
      <c r="J42" s="73">
        <f t="shared" si="9"/>
        <v>0</v>
      </c>
      <c r="K42" s="25">
        <f>IFERROR(VLOOKUP(A42,Net!$A:$D,4,0),0)</f>
        <v>0</v>
      </c>
      <c r="L42" s="25"/>
      <c r="M42" s="25">
        <f t="shared" si="10"/>
        <v>0</v>
      </c>
      <c r="N42" s="73">
        <f t="shared" si="11"/>
        <v>0</v>
      </c>
      <c r="O42" s="72">
        <f>'Elec Gross'!N42</f>
        <v>0</v>
      </c>
      <c r="P42" s="72">
        <f>'Elec Gross'!O42</f>
        <v>0</v>
      </c>
      <c r="Q42" s="72">
        <f t="shared" si="12"/>
        <v>0</v>
      </c>
      <c r="R42" s="73">
        <f t="shared" si="13"/>
        <v>0</v>
      </c>
      <c r="S42" s="12"/>
      <c r="U42" s="5"/>
    </row>
    <row r="43" spans="1:21" s="2" customFormat="1" hidden="1" x14ac:dyDescent="0.4">
      <c r="A43" s="1" t="str">
        <f>IF('Elec Gross'!A43="","",'Elec Gross'!A43)</f>
        <v/>
      </c>
      <c r="B43" s="1" t="str">
        <f>IF('Elec Gross'!B43="","",'Elec Gross'!B43)</f>
        <v/>
      </c>
      <c r="C43" s="1"/>
      <c r="D43" s="34" t="str">
        <f>IF('Elec Gross'!C43="","",'Elec Gross'!C43)</f>
        <v/>
      </c>
      <c r="E43" s="23" t="str">
        <f>IF('Elec Gross'!D43="","",'Elec Gross'!D43)</f>
        <v/>
      </c>
      <c r="F43" s="25" t="str">
        <f>IF('Elec Gross'!E43="","",'Elec Gross'!E43)</f>
        <v/>
      </c>
      <c r="G43" s="23">
        <f>IFERROR(VLOOKUP(A43,Net!$A:$D,3,0),0)</f>
        <v>0</v>
      </c>
      <c r="H43" s="25"/>
      <c r="I43" s="25">
        <f t="shared" si="8"/>
        <v>0</v>
      </c>
      <c r="J43" s="73">
        <f t="shared" si="9"/>
        <v>0</v>
      </c>
      <c r="K43" s="25">
        <f>IFERROR(VLOOKUP(A43,Net!$A:$D,4,0),0)</f>
        <v>0</v>
      </c>
      <c r="L43" s="25"/>
      <c r="M43" s="25">
        <f t="shared" si="10"/>
        <v>0</v>
      </c>
      <c r="N43" s="73">
        <f t="shared" si="11"/>
        <v>0</v>
      </c>
      <c r="O43" s="72">
        <f>'Elec Gross'!N43</f>
        <v>0</v>
      </c>
      <c r="P43" s="72">
        <f>'Elec Gross'!O43</f>
        <v>0</v>
      </c>
      <c r="Q43" s="72">
        <f t="shared" si="12"/>
        <v>0</v>
      </c>
      <c r="R43" s="73">
        <f t="shared" si="13"/>
        <v>0</v>
      </c>
      <c r="S43" s="12"/>
      <c r="U43" s="5"/>
    </row>
    <row r="44" spans="1:21" s="2" customFormat="1" hidden="1" x14ac:dyDescent="0.4">
      <c r="A44" s="1" t="str">
        <f>IF('Elec Gross'!A44="","",'Elec Gross'!A44)</f>
        <v/>
      </c>
      <c r="B44" s="1" t="str">
        <f>IF('Elec Gross'!B44="","",'Elec Gross'!B44)</f>
        <v/>
      </c>
      <c r="C44" s="1"/>
      <c r="D44" s="34" t="str">
        <f>IF('Elec Gross'!C44="","",'Elec Gross'!C44)</f>
        <v/>
      </c>
      <c r="E44" s="23" t="str">
        <f>IF('Elec Gross'!D44="","",'Elec Gross'!D44)</f>
        <v/>
      </c>
      <c r="F44" s="25" t="str">
        <f>IF('Elec Gross'!E44="","",'Elec Gross'!E44)</f>
        <v/>
      </c>
      <c r="G44" s="23">
        <f>IFERROR(VLOOKUP(A44,Net!$A:$D,3,0),0)</f>
        <v>0</v>
      </c>
      <c r="H44" s="25"/>
      <c r="I44" s="25">
        <f t="shared" si="8"/>
        <v>0</v>
      </c>
      <c r="J44" s="73">
        <f t="shared" si="9"/>
        <v>0</v>
      </c>
      <c r="K44" s="25">
        <f>IFERROR(VLOOKUP(A44,Net!$A:$D,4,0),0)</f>
        <v>0</v>
      </c>
      <c r="L44" s="25"/>
      <c r="M44" s="25">
        <f t="shared" si="10"/>
        <v>0</v>
      </c>
      <c r="N44" s="73">
        <f t="shared" si="11"/>
        <v>0</v>
      </c>
      <c r="O44" s="72">
        <f>'Elec Gross'!N44</f>
        <v>0</v>
      </c>
      <c r="P44" s="72">
        <f>'Elec Gross'!O44</f>
        <v>0</v>
      </c>
      <c r="Q44" s="72">
        <f t="shared" si="12"/>
        <v>0</v>
      </c>
      <c r="R44" s="73">
        <f t="shared" si="13"/>
        <v>0</v>
      </c>
      <c r="S44" s="12"/>
      <c r="U44" s="5"/>
    </row>
    <row r="45" spans="1:21" s="2" customFormat="1" hidden="1" x14ac:dyDescent="0.4">
      <c r="A45" s="1" t="str">
        <f>IF('Elec Gross'!A45="","",'Elec Gross'!A45)</f>
        <v/>
      </c>
      <c r="B45" s="1" t="str">
        <f>IF('Elec Gross'!B45="","",'Elec Gross'!B45)</f>
        <v/>
      </c>
      <c r="C45" s="1"/>
      <c r="D45" s="34" t="str">
        <f>IF('Elec Gross'!C45="","",'Elec Gross'!C45)</f>
        <v/>
      </c>
      <c r="E45" s="23" t="str">
        <f>IF('Elec Gross'!D45="","",'Elec Gross'!D45)</f>
        <v/>
      </c>
      <c r="F45" s="25" t="str">
        <f>IF('Elec Gross'!E45="","",'Elec Gross'!E45)</f>
        <v/>
      </c>
      <c r="G45" s="23">
        <f>IFERROR(VLOOKUP(A45,Net!$A:$D,3,0),0)</f>
        <v>0</v>
      </c>
      <c r="H45" s="25"/>
      <c r="I45" s="25">
        <f t="shared" si="8"/>
        <v>0</v>
      </c>
      <c r="J45" s="73">
        <f t="shared" si="9"/>
        <v>0</v>
      </c>
      <c r="K45" s="25">
        <f>IFERROR(VLOOKUP(A45,Net!$A:$D,4,0),0)</f>
        <v>0</v>
      </c>
      <c r="L45" s="25"/>
      <c r="M45" s="25">
        <f t="shared" si="10"/>
        <v>0</v>
      </c>
      <c r="N45" s="73">
        <f t="shared" si="11"/>
        <v>0</v>
      </c>
      <c r="O45" s="72">
        <f>'Elec Gross'!N45</f>
        <v>0</v>
      </c>
      <c r="P45" s="72">
        <f>'Elec Gross'!O45</f>
        <v>0</v>
      </c>
      <c r="Q45" s="72">
        <f t="shared" si="12"/>
        <v>0</v>
      </c>
      <c r="R45" s="73">
        <f t="shared" si="13"/>
        <v>0</v>
      </c>
      <c r="S45" s="12"/>
      <c r="U45" s="5"/>
    </row>
    <row r="46" spans="1:21" s="2" customFormat="1" hidden="1" x14ac:dyDescent="0.4">
      <c r="A46" s="1" t="str">
        <f>IF('Elec Gross'!A46="","",'Elec Gross'!A46)</f>
        <v/>
      </c>
      <c r="B46" s="1" t="str">
        <f>IF('Elec Gross'!B46="","",'Elec Gross'!B46)</f>
        <v/>
      </c>
      <c r="C46" s="1"/>
      <c r="D46" s="34" t="str">
        <f>IF('Elec Gross'!C46="","",'Elec Gross'!C46)</f>
        <v/>
      </c>
      <c r="E46" s="23" t="str">
        <f>IF('Elec Gross'!D46="","",'Elec Gross'!D46)</f>
        <v/>
      </c>
      <c r="F46" s="25" t="str">
        <f>IF('Elec Gross'!E46="","",'Elec Gross'!E46)</f>
        <v/>
      </c>
      <c r="G46" s="23">
        <f>IFERROR(VLOOKUP(A46,Net!$A:$D,3,0),0)</f>
        <v>0</v>
      </c>
      <c r="H46" s="25"/>
      <c r="I46" s="25">
        <f t="shared" si="8"/>
        <v>0</v>
      </c>
      <c r="J46" s="73">
        <f t="shared" si="9"/>
        <v>0</v>
      </c>
      <c r="K46" s="25">
        <f>IFERROR(VLOOKUP(A46,Net!$A:$D,4,0),0)</f>
        <v>0</v>
      </c>
      <c r="L46" s="25"/>
      <c r="M46" s="25">
        <f t="shared" si="10"/>
        <v>0</v>
      </c>
      <c r="N46" s="73">
        <f t="shared" si="11"/>
        <v>0</v>
      </c>
      <c r="O46" s="72">
        <f>'Elec Gross'!N46</f>
        <v>0</v>
      </c>
      <c r="P46" s="72">
        <f>'Elec Gross'!O46</f>
        <v>0</v>
      </c>
      <c r="Q46" s="72">
        <f t="shared" si="12"/>
        <v>0</v>
      </c>
      <c r="R46" s="73">
        <f t="shared" si="13"/>
        <v>0</v>
      </c>
      <c r="S46" s="12"/>
      <c r="U46" s="5"/>
    </row>
    <row r="47" spans="1:21" s="2" customFormat="1" hidden="1" x14ac:dyDescent="0.4">
      <c r="A47" s="1" t="str">
        <f>IF('Elec Gross'!A47="","",'Elec Gross'!A47)</f>
        <v/>
      </c>
      <c r="B47" s="1" t="str">
        <f>IF('Elec Gross'!B47="","",'Elec Gross'!B47)</f>
        <v/>
      </c>
      <c r="C47" s="1"/>
      <c r="D47" s="34" t="str">
        <f>IF('Elec Gross'!C47="","",'Elec Gross'!C47)</f>
        <v/>
      </c>
      <c r="E47" s="23" t="str">
        <f>IF('Elec Gross'!D47="","",'Elec Gross'!D47)</f>
        <v/>
      </c>
      <c r="F47" s="25" t="str">
        <f>IF('Elec Gross'!E47="","",'Elec Gross'!E47)</f>
        <v/>
      </c>
      <c r="G47" s="23">
        <f>IFERROR(VLOOKUP(A47,Net!$A:$D,3,0),0)</f>
        <v>0</v>
      </c>
      <c r="H47" s="25"/>
      <c r="I47" s="25">
        <f t="shared" si="8"/>
        <v>0</v>
      </c>
      <c r="J47" s="73">
        <f t="shared" si="9"/>
        <v>0</v>
      </c>
      <c r="K47" s="25">
        <f>IFERROR(VLOOKUP(A47,Net!$A:$D,4,0),0)</f>
        <v>0</v>
      </c>
      <c r="L47" s="25"/>
      <c r="M47" s="25">
        <f t="shared" si="10"/>
        <v>0</v>
      </c>
      <c r="N47" s="73">
        <f t="shared" si="11"/>
        <v>0</v>
      </c>
      <c r="O47" s="72">
        <f>'Elec Gross'!N47</f>
        <v>0</v>
      </c>
      <c r="P47" s="72">
        <f>'Elec Gross'!O47</f>
        <v>0</v>
      </c>
      <c r="Q47" s="72">
        <f t="shared" si="12"/>
        <v>0</v>
      </c>
      <c r="R47" s="73">
        <f t="shared" si="13"/>
        <v>0</v>
      </c>
      <c r="S47" s="12"/>
      <c r="U47" s="5"/>
    </row>
    <row r="48" spans="1:21" s="2" customFormat="1" hidden="1" x14ac:dyDescent="0.4">
      <c r="A48" s="1" t="str">
        <f>IF('Elec Gross'!A48="","",'Elec Gross'!A48)</f>
        <v/>
      </c>
      <c r="B48" s="1" t="str">
        <f>IF('Elec Gross'!B48="","",'Elec Gross'!B48)</f>
        <v/>
      </c>
      <c r="C48" s="1"/>
      <c r="D48" s="34" t="str">
        <f>IF('Elec Gross'!C48="","",'Elec Gross'!C48)</f>
        <v/>
      </c>
      <c r="E48" s="23" t="str">
        <f>IF('Elec Gross'!D48="","",'Elec Gross'!D48)</f>
        <v/>
      </c>
      <c r="F48" s="25" t="str">
        <f>IF('Elec Gross'!E48="","",'Elec Gross'!E48)</f>
        <v/>
      </c>
      <c r="G48" s="23">
        <f>IFERROR(VLOOKUP(A48,Net!$A:$D,3,0),0)</f>
        <v>0</v>
      </c>
      <c r="H48" s="25"/>
      <c r="I48" s="25">
        <f t="shared" si="8"/>
        <v>0</v>
      </c>
      <c r="J48" s="73">
        <f t="shared" si="9"/>
        <v>0</v>
      </c>
      <c r="K48" s="25">
        <f>IFERROR(VLOOKUP(A48,Net!$A:$D,4,0),0)</f>
        <v>0</v>
      </c>
      <c r="L48" s="25"/>
      <c r="M48" s="25">
        <f t="shared" si="10"/>
        <v>0</v>
      </c>
      <c r="N48" s="73">
        <f t="shared" si="11"/>
        <v>0</v>
      </c>
      <c r="O48" s="72">
        <f>'Elec Gross'!N48</f>
        <v>0</v>
      </c>
      <c r="P48" s="72">
        <f>'Elec Gross'!O48</f>
        <v>0</v>
      </c>
      <c r="Q48" s="72">
        <f t="shared" si="12"/>
        <v>0</v>
      </c>
      <c r="R48" s="73">
        <f t="shared" si="13"/>
        <v>0</v>
      </c>
      <c r="S48" s="12"/>
      <c r="U48" s="5"/>
    </row>
    <row r="49" spans="1:21" s="2" customFormat="1" hidden="1" x14ac:dyDescent="0.4">
      <c r="A49" s="1" t="str">
        <f>IF('Elec Gross'!A49="","",'Elec Gross'!A49)</f>
        <v/>
      </c>
      <c r="B49" s="1" t="str">
        <f>IF('Elec Gross'!B49="","",'Elec Gross'!B49)</f>
        <v/>
      </c>
      <c r="C49" s="1"/>
      <c r="D49" s="34" t="str">
        <f>IF('Elec Gross'!C49="","",'Elec Gross'!C49)</f>
        <v/>
      </c>
      <c r="E49" s="23" t="str">
        <f>IF('Elec Gross'!D49="","",'Elec Gross'!D49)</f>
        <v/>
      </c>
      <c r="F49" s="25" t="str">
        <f>IF('Elec Gross'!E49="","",'Elec Gross'!E49)</f>
        <v/>
      </c>
      <c r="G49" s="23">
        <f>IFERROR(VLOOKUP(A49,Net!$A:$D,3,0),0)</f>
        <v>0</v>
      </c>
      <c r="H49" s="25"/>
      <c r="I49" s="25">
        <f t="shared" si="8"/>
        <v>0</v>
      </c>
      <c r="J49" s="73">
        <f t="shared" si="9"/>
        <v>0</v>
      </c>
      <c r="K49" s="25">
        <f>IFERROR(VLOOKUP(A49,Net!$A:$D,4,0),0)</f>
        <v>0</v>
      </c>
      <c r="L49" s="25"/>
      <c r="M49" s="25">
        <f t="shared" si="10"/>
        <v>0</v>
      </c>
      <c r="N49" s="73">
        <f t="shared" si="11"/>
        <v>0</v>
      </c>
      <c r="O49" s="72">
        <f>'Elec Gross'!N49</f>
        <v>0</v>
      </c>
      <c r="P49" s="72">
        <f>'Elec Gross'!O49</f>
        <v>0</v>
      </c>
      <c r="Q49" s="72">
        <f t="shared" si="12"/>
        <v>0</v>
      </c>
      <c r="R49" s="73">
        <f t="shared" si="13"/>
        <v>0</v>
      </c>
      <c r="S49" s="12"/>
      <c r="U49" s="5"/>
    </row>
    <row r="50" spans="1:21" s="2" customFormat="1" hidden="1" x14ac:dyDescent="0.4">
      <c r="A50" s="1" t="str">
        <f>IF('Elec Gross'!A50="","",'Elec Gross'!A50)</f>
        <v/>
      </c>
      <c r="B50" s="1" t="str">
        <f>IF('Elec Gross'!B50="","",'Elec Gross'!B50)</f>
        <v/>
      </c>
      <c r="C50" s="1"/>
      <c r="D50" s="34" t="str">
        <f>IF('Elec Gross'!C50="","",'Elec Gross'!C50)</f>
        <v/>
      </c>
      <c r="E50" s="23" t="str">
        <f>IF('Elec Gross'!D50="","",'Elec Gross'!D50)</f>
        <v/>
      </c>
      <c r="F50" s="25" t="str">
        <f>IF('Elec Gross'!E50="","",'Elec Gross'!E50)</f>
        <v/>
      </c>
      <c r="G50" s="23">
        <f>IFERROR(VLOOKUP(A50,Net!$A:$D,3,0),0)</f>
        <v>0</v>
      </c>
      <c r="H50" s="25"/>
      <c r="I50" s="25">
        <f t="shared" si="8"/>
        <v>0</v>
      </c>
      <c r="J50" s="73">
        <f t="shared" si="9"/>
        <v>0</v>
      </c>
      <c r="K50" s="25">
        <f>IFERROR(VLOOKUP(A50,Net!$A:$D,4,0),0)</f>
        <v>0</v>
      </c>
      <c r="L50" s="25"/>
      <c r="M50" s="25">
        <f t="shared" si="10"/>
        <v>0</v>
      </c>
      <c r="N50" s="73">
        <f t="shared" si="11"/>
        <v>0</v>
      </c>
      <c r="O50" s="72">
        <f>'Elec Gross'!N50</f>
        <v>0</v>
      </c>
      <c r="P50" s="72">
        <f>'Elec Gross'!O50</f>
        <v>0</v>
      </c>
      <c r="Q50" s="72">
        <f t="shared" si="12"/>
        <v>0</v>
      </c>
      <c r="R50" s="73">
        <f t="shared" si="13"/>
        <v>0</v>
      </c>
      <c r="S50" s="12"/>
      <c r="U50" s="5"/>
    </row>
    <row r="51" spans="1:21" s="2" customFormat="1" hidden="1" x14ac:dyDescent="0.4">
      <c r="A51" s="1" t="str">
        <f>IF('Elec Gross'!A51="","",'Elec Gross'!A51)</f>
        <v/>
      </c>
      <c r="B51" s="1" t="str">
        <f>IF('Elec Gross'!B51="","",'Elec Gross'!B51)</f>
        <v/>
      </c>
      <c r="C51" s="1"/>
      <c r="D51" s="34" t="str">
        <f>IF('Elec Gross'!C51="","",'Elec Gross'!C51)</f>
        <v/>
      </c>
      <c r="E51" s="23" t="str">
        <f>IF('Elec Gross'!D51="","",'Elec Gross'!D51)</f>
        <v/>
      </c>
      <c r="F51" s="25" t="str">
        <f>IF('Elec Gross'!E51="","",'Elec Gross'!E51)</f>
        <v/>
      </c>
      <c r="G51" s="23">
        <f>IFERROR(VLOOKUP(A51,Net!$A:$D,3,0),0)</f>
        <v>0</v>
      </c>
      <c r="H51" s="25"/>
      <c r="I51" s="25">
        <f t="shared" si="8"/>
        <v>0</v>
      </c>
      <c r="J51" s="73">
        <f t="shared" si="9"/>
        <v>0</v>
      </c>
      <c r="K51" s="25">
        <f>IFERROR(VLOOKUP(A51,Net!$A:$D,4,0),0)</f>
        <v>0</v>
      </c>
      <c r="L51" s="25"/>
      <c r="M51" s="25">
        <f t="shared" si="10"/>
        <v>0</v>
      </c>
      <c r="N51" s="73">
        <f t="shared" si="11"/>
        <v>0</v>
      </c>
      <c r="O51" s="72">
        <f>'Elec Gross'!N51</f>
        <v>0</v>
      </c>
      <c r="P51" s="72">
        <f>'Elec Gross'!O51</f>
        <v>0</v>
      </c>
      <c r="Q51" s="72">
        <f t="shared" si="12"/>
        <v>0</v>
      </c>
      <c r="R51" s="73">
        <f t="shared" si="13"/>
        <v>0</v>
      </c>
      <c r="S51" s="12"/>
      <c r="U51" s="5"/>
    </row>
    <row r="52" spans="1:21" s="2" customFormat="1" hidden="1" x14ac:dyDescent="0.4">
      <c r="A52" s="1" t="str">
        <f>IF('Elec Gross'!A52="","",'Elec Gross'!A52)</f>
        <v/>
      </c>
      <c r="B52" s="1" t="str">
        <f>IF('Elec Gross'!B52="","",'Elec Gross'!B52)</f>
        <v/>
      </c>
      <c r="C52" s="1"/>
      <c r="D52" s="34" t="str">
        <f>IF('Elec Gross'!C52="","",'Elec Gross'!C52)</f>
        <v/>
      </c>
      <c r="E52" s="23" t="str">
        <f>IF('Elec Gross'!D52="","",'Elec Gross'!D52)</f>
        <v/>
      </c>
      <c r="F52" s="25" t="str">
        <f>IF('Elec Gross'!E52="","",'Elec Gross'!E52)</f>
        <v/>
      </c>
      <c r="G52" s="23">
        <f>IFERROR(VLOOKUP(A52,Net!$A:$D,3,0),0)</f>
        <v>0</v>
      </c>
      <c r="H52" s="25"/>
      <c r="I52" s="25">
        <f t="shared" si="8"/>
        <v>0</v>
      </c>
      <c r="J52" s="73">
        <f t="shared" si="9"/>
        <v>0</v>
      </c>
      <c r="K52" s="25">
        <f>IFERROR(VLOOKUP(A52,Net!$A:$D,4,0),0)</f>
        <v>0</v>
      </c>
      <c r="L52" s="25"/>
      <c r="M52" s="25">
        <f t="shared" si="10"/>
        <v>0</v>
      </c>
      <c r="N52" s="73">
        <f t="shared" si="11"/>
        <v>0</v>
      </c>
      <c r="O52" s="72">
        <f>'Elec Gross'!N52</f>
        <v>0</v>
      </c>
      <c r="P52" s="72">
        <f>'Elec Gross'!O52</f>
        <v>0</v>
      </c>
      <c r="Q52" s="72">
        <f t="shared" si="12"/>
        <v>0</v>
      </c>
      <c r="R52" s="73">
        <f t="shared" si="13"/>
        <v>0</v>
      </c>
      <c r="S52" s="12"/>
      <c r="U52" s="5"/>
    </row>
    <row r="53" spans="1:21" s="2" customFormat="1" hidden="1" x14ac:dyDescent="0.4">
      <c r="A53" s="1" t="str">
        <f>IF('Elec Gross'!A53="","",'Elec Gross'!A53)</f>
        <v/>
      </c>
      <c r="B53" s="1" t="str">
        <f>IF('Elec Gross'!B53="","",'Elec Gross'!B53)</f>
        <v/>
      </c>
      <c r="C53" s="1"/>
      <c r="D53" s="34" t="str">
        <f>IF('Elec Gross'!C53="","",'Elec Gross'!C53)</f>
        <v/>
      </c>
      <c r="E53" s="23" t="str">
        <f>IF('Elec Gross'!D53="","",'Elec Gross'!D53)</f>
        <v/>
      </c>
      <c r="F53" s="25" t="str">
        <f>IF('Elec Gross'!E53="","",'Elec Gross'!E53)</f>
        <v/>
      </c>
      <c r="G53" s="23">
        <f>IFERROR(VLOOKUP(A53,Net!$A:$D,3,0),0)</f>
        <v>0</v>
      </c>
      <c r="H53" s="25"/>
      <c r="I53" s="25">
        <f t="shared" si="8"/>
        <v>0</v>
      </c>
      <c r="J53" s="73">
        <f t="shared" si="9"/>
        <v>0</v>
      </c>
      <c r="K53" s="25">
        <f>IFERROR(VLOOKUP(A53,Net!$A:$D,4,0),0)</f>
        <v>0</v>
      </c>
      <c r="L53" s="25"/>
      <c r="M53" s="25">
        <f t="shared" si="10"/>
        <v>0</v>
      </c>
      <c r="N53" s="73">
        <f t="shared" si="11"/>
        <v>0</v>
      </c>
      <c r="O53" s="72">
        <f>'Elec Gross'!N53</f>
        <v>0</v>
      </c>
      <c r="P53" s="72">
        <f>'Elec Gross'!O53</f>
        <v>0</v>
      </c>
      <c r="Q53" s="72">
        <f t="shared" si="12"/>
        <v>0</v>
      </c>
      <c r="R53" s="73">
        <f t="shared" si="13"/>
        <v>0</v>
      </c>
      <c r="S53" s="12"/>
      <c r="U53" s="5"/>
    </row>
    <row r="54" spans="1:21" s="2" customFormat="1" hidden="1" x14ac:dyDescent="0.4">
      <c r="A54" s="1" t="str">
        <f>IF('Elec Gross'!A54="","",'Elec Gross'!A54)</f>
        <v/>
      </c>
      <c r="B54" s="1" t="str">
        <f>IF('Elec Gross'!B54="","",'Elec Gross'!B54)</f>
        <v/>
      </c>
      <c r="C54" s="1"/>
      <c r="D54" s="34" t="str">
        <f>IF('Elec Gross'!C54="","",'Elec Gross'!C54)</f>
        <v/>
      </c>
      <c r="E54" s="23" t="str">
        <f>IF('Elec Gross'!D54="","",'Elec Gross'!D54)</f>
        <v/>
      </c>
      <c r="F54" s="25" t="str">
        <f>IF('Elec Gross'!E54="","",'Elec Gross'!E54)</f>
        <v/>
      </c>
      <c r="G54" s="23">
        <f>IFERROR(VLOOKUP(A54,Net!$A:$D,3,0),0)</f>
        <v>0</v>
      </c>
      <c r="H54" s="25"/>
      <c r="I54" s="25">
        <f t="shared" si="8"/>
        <v>0</v>
      </c>
      <c r="J54" s="73">
        <f t="shared" si="9"/>
        <v>0</v>
      </c>
      <c r="K54" s="25">
        <f>IFERROR(VLOOKUP(A54,Net!$A:$D,4,0),0)</f>
        <v>0</v>
      </c>
      <c r="L54" s="25"/>
      <c r="M54" s="25">
        <f t="shared" si="10"/>
        <v>0</v>
      </c>
      <c r="N54" s="73">
        <f t="shared" si="11"/>
        <v>0</v>
      </c>
      <c r="O54" s="72">
        <f>'Elec Gross'!N54</f>
        <v>0</v>
      </c>
      <c r="P54" s="72">
        <f>'Elec Gross'!O54</f>
        <v>0</v>
      </c>
      <c r="Q54" s="72">
        <f t="shared" si="12"/>
        <v>0</v>
      </c>
      <c r="R54" s="73">
        <f t="shared" si="13"/>
        <v>0</v>
      </c>
      <c r="S54" s="12"/>
      <c r="U54" s="5"/>
    </row>
    <row r="55" spans="1:21" s="2" customFormat="1" hidden="1" x14ac:dyDescent="0.4">
      <c r="A55" s="1" t="str">
        <f>IF('Elec Gross'!A55="","",'Elec Gross'!A55)</f>
        <v/>
      </c>
      <c r="B55" s="1" t="str">
        <f>IF('Elec Gross'!B55="","",'Elec Gross'!B55)</f>
        <v/>
      </c>
      <c r="C55" s="1"/>
      <c r="D55" s="34" t="str">
        <f>IF('Elec Gross'!C55="","",'Elec Gross'!C55)</f>
        <v/>
      </c>
      <c r="E55" s="23" t="str">
        <f>IF('Elec Gross'!D55="","",'Elec Gross'!D55)</f>
        <v/>
      </c>
      <c r="F55" s="25" t="str">
        <f>IF('Elec Gross'!E55="","",'Elec Gross'!E55)</f>
        <v/>
      </c>
      <c r="G55" s="23">
        <f>IFERROR(VLOOKUP(A55,Net!$A:$D,3,0),0)</f>
        <v>0</v>
      </c>
      <c r="H55" s="25"/>
      <c r="I55" s="25">
        <f t="shared" si="8"/>
        <v>0</v>
      </c>
      <c r="J55" s="73">
        <f t="shared" si="9"/>
        <v>0</v>
      </c>
      <c r="K55" s="25">
        <f>IFERROR(VLOOKUP(A55,Net!$A:$D,4,0),0)</f>
        <v>0</v>
      </c>
      <c r="L55" s="25"/>
      <c r="M55" s="25">
        <f t="shared" si="10"/>
        <v>0</v>
      </c>
      <c r="N55" s="73">
        <f t="shared" si="11"/>
        <v>0</v>
      </c>
      <c r="O55" s="72">
        <f>'Elec Gross'!N55</f>
        <v>0</v>
      </c>
      <c r="P55" s="72">
        <f>'Elec Gross'!O55</f>
        <v>0</v>
      </c>
      <c r="Q55" s="72">
        <f t="shared" si="12"/>
        <v>0</v>
      </c>
      <c r="R55" s="73">
        <f t="shared" si="13"/>
        <v>0</v>
      </c>
      <c r="S55" s="12"/>
      <c r="U55" s="5"/>
    </row>
    <row r="56" spans="1:21" s="2" customFormat="1" hidden="1" x14ac:dyDescent="0.4">
      <c r="A56" s="1" t="str">
        <f>IF('Elec Gross'!A56="","",'Elec Gross'!A56)</f>
        <v/>
      </c>
      <c r="B56" s="1" t="str">
        <f>IF('Elec Gross'!B56="","",'Elec Gross'!B56)</f>
        <v/>
      </c>
      <c r="C56" s="1"/>
      <c r="D56" s="34" t="str">
        <f>IF('Elec Gross'!C56="","",'Elec Gross'!C56)</f>
        <v/>
      </c>
      <c r="E56" s="23" t="str">
        <f>IF('Elec Gross'!D56="","",'Elec Gross'!D56)</f>
        <v/>
      </c>
      <c r="F56" s="25" t="str">
        <f>IF('Elec Gross'!E56="","",'Elec Gross'!E56)</f>
        <v/>
      </c>
      <c r="G56" s="23">
        <f>IFERROR(VLOOKUP(A56,Net!$A:$D,3,0),0)</f>
        <v>0</v>
      </c>
      <c r="H56" s="25"/>
      <c r="I56" s="25">
        <f t="shared" si="8"/>
        <v>0</v>
      </c>
      <c r="J56" s="73">
        <f t="shared" si="9"/>
        <v>0</v>
      </c>
      <c r="K56" s="25">
        <f>IFERROR(VLOOKUP(A56,Net!$A:$D,4,0),0)</f>
        <v>0</v>
      </c>
      <c r="L56" s="25"/>
      <c r="M56" s="25">
        <f t="shared" si="10"/>
        <v>0</v>
      </c>
      <c r="N56" s="73">
        <f t="shared" si="11"/>
        <v>0</v>
      </c>
      <c r="O56" s="72">
        <f>'Elec Gross'!N56</f>
        <v>0</v>
      </c>
      <c r="P56" s="72">
        <f>'Elec Gross'!O56</f>
        <v>0</v>
      </c>
      <c r="Q56" s="72">
        <f t="shared" si="12"/>
        <v>0</v>
      </c>
      <c r="R56" s="73">
        <f t="shared" si="13"/>
        <v>0</v>
      </c>
      <c r="S56" s="12"/>
      <c r="U56" s="5"/>
    </row>
    <row r="57" spans="1:21" s="2" customFormat="1" hidden="1" x14ac:dyDescent="0.4">
      <c r="A57" s="1" t="str">
        <f>IF('Elec Gross'!A57="","",'Elec Gross'!A57)</f>
        <v/>
      </c>
      <c r="B57" s="1" t="str">
        <f>IF('Elec Gross'!B57="","",'Elec Gross'!B57)</f>
        <v/>
      </c>
      <c r="C57" s="1"/>
      <c r="D57" s="34" t="str">
        <f>IF('Elec Gross'!C57="","",'Elec Gross'!C57)</f>
        <v/>
      </c>
      <c r="E57" s="23" t="str">
        <f>IF('Elec Gross'!D57="","",'Elec Gross'!D57)</f>
        <v/>
      </c>
      <c r="F57" s="25" t="str">
        <f>IF('Elec Gross'!E57="","",'Elec Gross'!E57)</f>
        <v/>
      </c>
      <c r="G57" s="23">
        <f>IFERROR(VLOOKUP(A57,Net!$A:$D,3,0),0)</f>
        <v>0</v>
      </c>
      <c r="H57" s="25"/>
      <c r="I57" s="25">
        <f t="shared" si="8"/>
        <v>0</v>
      </c>
      <c r="J57" s="73">
        <f t="shared" si="9"/>
        <v>0</v>
      </c>
      <c r="K57" s="25">
        <f>IFERROR(VLOOKUP(A57,Net!$A:$D,4,0),0)</f>
        <v>0</v>
      </c>
      <c r="L57" s="25"/>
      <c r="M57" s="25">
        <f t="shared" si="10"/>
        <v>0</v>
      </c>
      <c r="N57" s="73">
        <f t="shared" si="11"/>
        <v>0</v>
      </c>
      <c r="O57" s="72">
        <f>'Elec Gross'!N57</f>
        <v>0</v>
      </c>
      <c r="P57" s="72">
        <f>'Elec Gross'!O57</f>
        <v>0</v>
      </c>
      <c r="Q57" s="72">
        <f t="shared" si="12"/>
        <v>0</v>
      </c>
      <c r="R57" s="73">
        <f t="shared" si="13"/>
        <v>0</v>
      </c>
      <c r="S57" s="12"/>
      <c r="U57" s="5"/>
    </row>
    <row r="58" spans="1:21" s="2" customFormat="1" hidden="1" x14ac:dyDescent="0.4">
      <c r="A58" s="1" t="str">
        <f>IF('Elec Gross'!A58="","",'Elec Gross'!A58)</f>
        <v/>
      </c>
      <c r="B58" s="1" t="str">
        <f>IF('Elec Gross'!B58="","",'Elec Gross'!B58)</f>
        <v/>
      </c>
      <c r="C58" s="1"/>
      <c r="D58" s="47" t="str">
        <f>IF('Elec Gross'!C58="","",'Elec Gross'!C58)</f>
        <v/>
      </c>
      <c r="E58" s="24" t="str">
        <f>IF('Elec Gross'!D58="","",'Elec Gross'!D58)</f>
        <v/>
      </c>
      <c r="F58" s="26" t="str">
        <f>IF('Elec Gross'!E58="","",'Elec Gross'!E58)</f>
        <v/>
      </c>
      <c r="G58" s="24">
        <f>IFERROR(VLOOKUP(A58,Net!$A:$D,3,0),0)</f>
        <v>0</v>
      </c>
      <c r="H58" s="26"/>
      <c r="I58" s="26">
        <f t="shared" si="8"/>
        <v>0</v>
      </c>
      <c r="J58" s="75">
        <f t="shared" si="9"/>
        <v>0</v>
      </c>
      <c r="K58" s="26">
        <f>IFERROR(VLOOKUP(A58,Net!$A:$D,4,0),0)</f>
        <v>0</v>
      </c>
      <c r="L58" s="26"/>
      <c r="M58" s="26">
        <f t="shared" si="10"/>
        <v>0</v>
      </c>
      <c r="N58" s="75">
        <f t="shared" si="11"/>
        <v>0</v>
      </c>
      <c r="O58" s="76">
        <f>'Elec Gross'!N58</f>
        <v>0</v>
      </c>
      <c r="P58" s="76">
        <f>'Elec Gross'!O58</f>
        <v>0</v>
      </c>
      <c r="Q58" s="76">
        <f t="shared" si="12"/>
        <v>0</v>
      </c>
      <c r="R58" s="75">
        <f t="shared" si="13"/>
        <v>0</v>
      </c>
      <c r="S58" s="12"/>
      <c r="T58" s="4"/>
      <c r="U58" s="3"/>
    </row>
    <row r="59" spans="1:21" s="2" customFormat="1" x14ac:dyDescent="0.4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"/>
      <c r="T59" s="4"/>
      <c r="U59" s="3"/>
    </row>
    <row r="60" spans="1:21" x14ac:dyDescent="0.4">
      <c r="D60" s="242" t="s">
        <v>110</v>
      </c>
      <c r="E60" s="78">
        <f>SUM(E10:E58)</f>
        <v>505657</v>
      </c>
      <c r="F60" s="79"/>
      <c r="G60" s="53">
        <f>SUM(G10:G58)</f>
        <v>137685030.07999998</v>
      </c>
      <c r="H60" s="53">
        <f>SUM(H10:H58)</f>
        <v>95392809.292265758</v>
      </c>
      <c r="I60" s="53">
        <f>SUM(I10:I58)</f>
        <v>-42292220.787734225</v>
      </c>
      <c r="J60" s="80">
        <f>IF(G60&gt;0,I60/G60,0)</f>
        <v>-0.307166441864892</v>
      </c>
      <c r="K60" s="53">
        <f>SUM(K10:K58)</f>
        <v>35004.380579837838</v>
      </c>
      <c r="L60" s="53">
        <f>SUM(L10:L58)</f>
        <v>29664.631073471934</v>
      </c>
      <c r="M60" s="53">
        <f>SUM(M10:M58)</f>
        <v>-5339.7495063659071</v>
      </c>
      <c r="N60" s="80">
        <f>IF(K60&gt;0,M60/K60,0)</f>
        <v>-0.1525451791437083</v>
      </c>
      <c r="O60" s="81">
        <f>SUM(O10:O58)</f>
        <v>32379555.30945101</v>
      </c>
      <c r="P60" s="81">
        <f>SUM(P10:P58)</f>
        <v>21888406.23999935</v>
      </c>
      <c r="Q60" s="81">
        <f>SUM(Q10:Q58)</f>
        <v>-10491149.069451664</v>
      </c>
      <c r="R60" s="80">
        <f>IF(O60&gt;0,Q60/O60,0)</f>
        <v>-0.32400534748509924</v>
      </c>
      <c r="S60" s="6"/>
    </row>
    <row r="61" spans="1:21" x14ac:dyDescent="0.4">
      <c r="D61" s="68"/>
      <c r="E61" s="93"/>
      <c r="F61" s="93"/>
      <c r="G61" s="25"/>
      <c r="H61" s="25"/>
      <c r="I61" s="25"/>
      <c r="J61" s="241"/>
      <c r="K61" s="25"/>
      <c r="L61" s="25"/>
      <c r="M61" s="25"/>
      <c r="N61" s="241"/>
      <c r="O61" s="72"/>
      <c r="P61" s="72"/>
      <c r="Q61" s="72"/>
      <c r="R61" s="241"/>
      <c r="S61" s="6"/>
    </row>
    <row r="62" spans="1:21" x14ac:dyDescent="0.4">
      <c r="C62" s="236"/>
      <c r="D62" s="236"/>
      <c r="E62" s="236"/>
      <c r="F62" s="83"/>
      <c r="G62" s="84"/>
      <c r="H62" s="82" t="s">
        <v>5</v>
      </c>
      <c r="I62" s="84"/>
      <c r="J62" s="83"/>
      <c r="K62" s="84"/>
      <c r="L62" s="82" t="s">
        <v>5</v>
      </c>
      <c r="M62" s="84"/>
      <c r="N62" s="83"/>
      <c r="O62" s="84"/>
      <c r="P62" s="84"/>
      <c r="Q62" s="84"/>
      <c r="R62" s="83"/>
    </row>
    <row r="63" spans="1:21" x14ac:dyDescent="0.4">
      <c r="C63" s="233"/>
      <c r="D63" s="233"/>
      <c r="E63" s="233"/>
      <c r="F63" s="237"/>
      <c r="G63" s="85" t="s">
        <v>2</v>
      </c>
      <c r="H63" s="85" t="s">
        <v>3</v>
      </c>
      <c r="I63" s="85"/>
      <c r="J63" s="238" t="s">
        <v>6</v>
      </c>
      <c r="K63" s="85" t="s">
        <v>2</v>
      </c>
      <c r="L63" s="85" t="s">
        <v>3</v>
      </c>
      <c r="M63" s="85"/>
      <c r="N63" s="238" t="s">
        <v>6</v>
      </c>
      <c r="O63" s="85" t="s">
        <v>2</v>
      </c>
      <c r="P63" s="85" t="s">
        <v>3</v>
      </c>
      <c r="Q63" s="85"/>
      <c r="R63" s="238" t="s">
        <v>6</v>
      </c>
    </row>
    <row r="64" spans="1:21" x14ac:dyDescent="0.4">
      <c r="A64" s="1" t="s">
        <v>26</v>
      </c>
      <c r="B64" s="1" t="s">
        <v>27</v>
      </c>
      <c r="C64" s="1" t="s">
        <v>59</v>
      </c>
      <c r="D64" s="234" t="s">
        <v>104</v>
      </c>
      <c r="E64" s="249" t="s">
        <v>10</v>
      </c>
      <c r="F64" s="250"/>
      <c r="G64" s="86" t="s">
        <v>1</v>
      </c>
      <c r="H64" s="86" t="s">
        <v>1</v>
      </c>
      <c r="I64" s="86" t="s">
        <v>4</v>
      </c>
      <c r="J64" s="87" t="s">
        <v>7</v>
      </c>
      <c r="K64" s="86" t="s">
        <v>0</v>
      </c>
      <c r="L64" s="86" t="s">
        <v>0</v>
      </c>
      <c r="M64" s="86" t="s">
        <v>4</v>
      </c>
      <c r="N64" s="87" t="s">
        <v>7</v>
      </c>
      <c r="O64" s="86" t="s">
        <v>8</v>
      </c>
      <c r="P64" s="86" t="s">
        <v>8</v>
      </c>
      <c r="Q64" s="86" t="s">
        <v>4</v>
      </c>
      <c r="R64" s="87" t="s">
        <v>7</v>
      </c>
    </row>
    <row r="65" spans="1:20" s="2" customFormat="1" x14ac:dyDescent="0.4">
      <c r="A65" s="27">
        <v>17831</v>
      </c>
      <c r="B65" s="27" t="s">
        <v>111</v>
      </c>
      <c r="C65" s="34">
        <v>1</v>
      </c>
      <c r="D65" s="34" t="s">
        <v>87</v>
      </c>
      <c r="E65" s="23">
        <v>64847</v>
      </c>
      <c r="F65" s="44"/>
      <c r="G65" s="23">
        <v>489100</v>
      </c>
      <c r="H65" s="25">
        <v>164889</v>
      </c>
      <c r="I65" s="25">
        <f t="shared" ref="I65:I66" si="14">H65-G65</f>
        <v>-324211</v>
      </c>
      <c r="J65" s="45">
        <f t="shared" ref="J65:J66" si="15">IF(G65&gt;0,I65/G65,0)</f>
        <v>-0.6628726231854426</v>
      </c>
      <c r="K65" s="23">
        <v>42216.69751943725</v>
      </c>
      <c r="L65" s="25">
        <v>45003</v>
      </c>
      <c r="M65" s="25">
        <f t="shared" ref="M65:M66" si="16">L65-K65</f>
        <v>2786.3024805627501</v>
      </c>
      <c r="N65" s="45">
        <f t="shared" ref="N65:N66" si="17">IF(K65&gt;0,M65/K65,0)</f>
        <v>6.6000010523795505E-2</v>
      </c>
      <c r="O65" s="43">
        <v>3284250.6533727366</v>
      </c>
      <c r="P65" s="43">
        <v>3035867.5200006533</v>
      </c>
      <c r="Q65" s="43">
        <f t="shared" ref="Q65:Q66" si="18">P65-O65</f>
        <v>-248383.13337208331</v>
      </c>
      <c r="R65" s="45">
        <f t="shared" ref="R65:R66" si="19">IF(O65&gt;0,Q65/O65,0)</f>
        <v>-7.5628555669771461E-2</v>
      </c>
      <c r="S65" s="11"/>
      <c r="T65" s="3"/>
    </row>
    <row r="66" spans="1:20" s="2" customFormat="1" x14ac:dyDescent="0.4">
      <c r="A66" s="27">
        <v>17836</v>
      </c>
      <c r="B66" s="27" t="s">
        <v>111</v>
      </c>
      <c r="C66" s="34">
        <v>1</v>
      </c>
      <c r="D66" s="34" t="s">
        <v>70</v>
      </c>
      <c r="E66" s="23">
        <v>92</v>
      </c>
      <c r="F66" s="44"/>
      <c r="G66" s="23">
        <v>2770016</v>
      </c>
      <c r="H66" s="25">
        <v>612728</v>
      </c>
      <c r="I66" s="25">
        <f t="shared" si="14"/>
        <v>-2157288</v>
      </c>
      <c r="J66" s="45">
        <f t="shared" si="15"/>
        <v>-0.77879983364717031</v>
      </c>
      <c r="K66" s="23">
        <v>230811.58550811585</v>
      </c>
      <c r="L66" s="25">
        <v>267079</v>
      </c>
      <c r="M66" s="25">
        <f t="shared" si="16"/>
        <v>36267.414491884148</v>
      </c>
      <c r="N66" s="45">
        <f t="shared" si="17"/>
        <v>0.15712995693887691</v>
      </c>
      <c r="O66" s="43">
        <v>8651750</v>
      </c>
      <c r="P66" s="43">
        <v>7393922.2999999998</v>
      </c>
      <c r="Q66" s="43">
        <f t="shared" si="18"/>
        <v>-1257827.7000000002</v>
      </c>
      <c r="R66" s="45">
        <f t="shared" si="19"/>
        <v>-0.14538419394920105</v>
      </c>
      <c r="S66" s="11"/>
      <c r="T66" s="3"/>
    </row>
    <row r="67" spans="1:20" x14ac:dyDescent="0.4">
      <c r="C67" s="235"/>
      <c r="D67" s="235" t="s">
        <v>109</v>
      </c>
      <c r="E67" s="51">
        <f>SUM(E65:E66)</f>
        <v>64939</v>
      </c>
      <c r="F67" s="52"/>
      <c r="G67" s="53">
        <f>SUM(G65:G66)</f>
        <v>3259116</v>
      </c>
      <c r="H67" s="53">
        <f>SUM(H65:H66)</f>
        <v>777617</v>
      </c>
      <c r="I67" s="53">
        <f>SUM(I65:I66)</f>
        <v>-2481499</v>
      </c>
      <c r="J67" s="80">
        <f>IF(G67&gt;0,I67/G67,0)</f>
        <v>-0.76140247846348519</v>
      </c>
      <c r="K67" s="53">
        <f>SUM(K65:K66)</f>
        <v>273028.28302755312</v>
      </c>
      <c r="L67" s="53">
        <f>SUM(L65:L66)</f>
        <v>312082</v>
      </c>
      <c r="M67" s="53">
        <f>SUM(M65:M66)</f>
        <v>39053.716972446899</v>
      </c>
      <c r="N67" s="80">
        <f>IF(K67&gt;0,M67/K67,0)</f>
        <v>0.14303908935509704</v>
      </c>
      <c r="O67" s="53">
        <f>SUM(O65:O66)</f>
        <v>11936000.653372737</v>
      </c>
      <c r="P67" s="53">
        <f>SUM(P65:P66)</f>
        <v>10429789.820000652</v>
      </c>
      <c r="Q67" s="53">
        <f>SUM(Q65:Q66)</f>
        <v>-1506210.8333720835</v>
      </c>
      <c r="R67" s="80">
        <f>IF(O67&gt;0,Q67/O67,0)</f>
        <v>-0.12619057899820707</v>
      </c>
    </row>
    <row r="69" spans="1:20" x14ac:dyDescent="0.4">
      <c r="D69" s="57"/>
      <c r="E69" s="30"/>
      <c r="F69" s="31"/>
      <c r="G69" s="32"/>
      <c r="H69" s="33" t="s">
        <v>5</v>
      </c>
      <c r="I69" s="32"/>
      <c r="J69" s="31"/>
      <c r="K69" s="32"/>
      <c r="L69" s="33" t="s">
        <v>5</v>
      </c>
      <c r="M69" s="32"/>
      <c r="N69" s="31"/>
      <c r="O69" s="32"/>
      <c r="P69" s="32"/>
      <c r="Q69" s="32"/>
      <c r="R69" s="31"/>
    </row>
    <row r="70" spans="1:20" x14ac:dyDescent="0.4">
      <c r="D70" s="58"/>
      <c r="E70" s="34"/>
      <c r="F70" s="35"/>
      <c r="G70" s="36" t="s">
        <v>2</v>
      </c>
      <c r="H70" s="36" t="s">
        <v>3</v>
      </c>
      <c r="I70" s="36"/>
      <c r="J70" s="37" t="s">
        <v>6</v>
      </c>
      <c r="K70" s="36" t="s">
        <v>2</v>
      </c>
      <c r="L70" s="36" t="s">
        <v>3</v>
      </c>
      <c r="M70" s="36"/>
      <c r="N70" s="37" t="s">
        <v>6</v>
      </c>
      <c r="O70" s="36" t="s">
        <v>2</v>
      </c>
      <c r="P70" s="36" t="s">
        <v>3</v>
      </c>
      <c r="Q70" s="36"/>
      <c r="R70" s="37" t="s">
        <v>6</v>
      </c>
      <c r="S70" s="7"/>
    </row>
    <row r="71" spans="1:20" x14ac:dyDescent="0.4">
      <c r="D71" s="60" t="s">
        <v>12</v>
      </c>
      <c r="E71" s="246" t="s">
        <v>10</v>
      </c>
      <c r="F71" s="247"/>
      <c r="G71" s="38" t="s">
        <v>1</v>
      </c>
      <c r="H71" s="38" t="s">
        <v>1</v>
      </c>
      <c r="I71" s="38" t="s">
        <v>4</v>
      </c>
      <c r="J71" s="61" t="s">
        <v>7</v>
      </c>
      <c r="K71" s="38" t="s">
        <v>0</v>
      </c>
      <c r="L71" s="38" t="s">
        <v>0</v>
      </c>
      <c r="M71" s="38" t="s">
        <v>4</v>
      </c>
      <c r="N71" s="61" t="s">
        <v>7</v>
      </c>
      <c r="O71" s="38" t="s">
        <v>8</v>
      </c>
      <c r="P71" s="38" t="s">
        <v>8</v>
      </c>
      <c r="Q71" s="38" t="s">
        <v>4</v>
      </c>
      <c r="R71" s="61" t="s">
        <v>7</v>
      </c>
      <c r="S71" s="8"/>
    </row>
    <row r="72" spans="1:20" x14ac:dyDescent="0.4">
      <c r="D72" s="57" t="s">
        <v>13</v>
      </c>
      <c r="E72" s="23">
        <f>SUMIF($B$10:$B$58,"Res",E10:E58)</f>
        <v>400967</v>
      </c>
      <c r="F72" s="44"/>
      <c r="G72" s="63">
        <f>SUMIF($B$10:$B$58,"Res",G10:G58)</f>
        <v>39332012.180000007</v>
      </c>
      <c r="H72" s="64">
        <f>SUMIF($B$10:$B$58,"Res",H10:H58)</f>
        <v>35701683.694175765</v>
      </c>
      <c r="I72" s="64">
        <f>SUMIF($B$10:$B$58,"Res",I10:I58)</f>
        <v>-3630328.4858242441</v>
      </c>
      <c r="J72" s="73">
        <f>IF(G72&gt;0,I72/G72,0)</f>
        <v>-9.2299587145715248E-2</v>
      </c>
      <c r="K72" s="63">
        <f>SUMIF($B$10:$B$58,"Res",K10:K58)</f>
        <v>12281.496876118801</v>
      </c>
      <c r="L72" s="64">
        <f>SUMIF($B$10:$B$58,"Res",L10:L58)</f>
        <v>11392.474703471933</v>
      </c>
      <c r="M72" s="64">
        <f>SUMIF($B$10:$B$58,"Res",M10:M58)</f>
        <v>-889.02217264686601</v>
      </c>
      <c r="N72" s="73">
        <f>IF(K72&gt;0,M72/K72,0)</f>
        <v>-7.2387118737582967E-2</v>
      </c>
      <c r="O72" s="42">
        <f>SUMIF($B$10:$B$58,"Res",O10:O58)</f>
        <v>7873971.5490163248</v>
      </c>
      <c r="P72" s="42">
        <f>SUMIF($B$10:$B$58,"Res",P10:P58)</f>
        <v>5383450.0695309918</v>
      </c>
      <c r="Q72" s="42">
        <f>SUMIF($B$10:$B$58,"Res",Q10:Q58)</f>
        <v>-2490521.4794853339</v>
      </c>
      <c r="R72" s="73">
        <f>IF(O72&gt;0,Q72/O72,0)</f>
        <v>-0.31629800336228908</v>
      </c>
    </row>
    <row r="73" spans="1:20" x14ac:dyDescent="0.4">
      <c r="D73" s="58" t="s">
        <v>14</v>
      </c>
      <c r="E73" s="23">
        <f>SUMIF($B$10:$B$58,"NonRes",E10:E58)</f>
        <v>104647</v>
      </c>
      <c r="F73" s="44"/>
      <c r="G73" s="65">
        <f>SUMIF($B$10:$B$58,"NonRes",G10:G58)</f>
        <v>98353017.899999976</v>
      </c>
      <c r="H73" s="93">
        <f>SUMIF($B$10:$B$58,"NonRes",H10:H58)</f>
        <v>59691125.598089993</v>
      </c>
      <c r="I73" s="93">
        <f>SUMIF($B$10:$B$58,"NonRes",I10:I58)</f>
        <v>-38661892.301909983</v>
      </c>
      <c r="J73" s="73">
        <f>IF(G73&gt;0,I73/G73,0)</f>
        <v>-0.39309309594566078</v>
      </c>
      <c r="K73" s="65">
        <f>SUMIF($B$10:$B$58,"NonRes",K10:K58)</f>
        <v>22722.883703719042</v>
      </c>
      <c r="L73" s="93">
        <f>SUMIF($B$10:$B$58,"NonRes",L10:L58)</f>
        <v>18272.156370000001</v>
      </c>
      <c r="M73" s="93">
        <f>SUMIF($B$10:$B$58,"NonRes",M10:M58)</f>
        <v>-4450.7273337190409</v>
      </c>
      <c r="N73" s="73">
        <f>IF(K73&gt;0,M73/K73,0)</f>
        <v>-0.19586982848442747</v>
      </c>
      <c r="O73" s="94">
        <f>SUMIF($B$10:$B$58,"NonRes",O10:O58)</f>
        <v>22900583.760434687</v>
      </c>
      <c r="P73" s="43">
        <f>SUMIF($B$10:$B$58,"NonRes",P10:P58)</f>
        <v>14595320.000468355</v>
      </c>
      <c r="Q73" s="43">
        <f>SUMIF($B$10:$B$58,"NonRes",Q10:Q58)</f>
        <v>-8305263.7599663297</v>
      </c>
      <c r="R73" s="73">
        <f>IF(O73&gt;0,Q73/O73,0)</f>
        <v>-0.36266602837938677</v>
      </c>
    </row>
    <row r="74" spans="1:20" x14ac:dyDescent="0.4">
      <c r="D74" s="239" t="s">
        <v>106</v>
      </c>
      <c r="E74" s="23">
        <f>SUMIF($B$65:$B$66,"DR",E65:E66)</f>
        <v>64939</v>
      </c>
      <c r="F74" s="44"/>
      <c r="G74" s="6">
        <f>SUMIF($B$65:$B$66,"DR",G65:G66)</f>
        <v>3259116</v>
      </c>
      <c r="H74" s="6">
        <f>SUMIF($B$65:$B$66,"DR",H65:H66)</f>
        <v>777617</v>
      </c>
      <c r="I74" s="6">
        <f>SUMIF($B$65:$B$66,"DR",I65:I66)</f>
        <v>-2481499</v>
      </c>
      <c r="J74" s="73">
        <f>IF(G74&gt;0,I74/G74,0)</f>
        <v>-0.76140247846348519</v>
      </c>
      <c r="K74" s="6">
        <f>SUMIF($B$65:$B$66,"DR",K65:K66)</f>
        <v>273028.28302755312</v>
      </c>
      <c r="L74" s="6">
        <f>SUMIF($B$65:$B$66,"DR",L65:L66)</f>
        <v>312082</v>
      </c>
      <c r="M74" s="6">
        <f>SUMIF($B$65:$B$66,"DR",M65:M66)</f>
        <v>39053.716972446899</v>
      </c>
      <c r="N74" s="73">
        <f>IF(K74&gt;0,M74/K74,0)</f>
        <v>0.14303908935509704</v>
      </c>
      <c r="O74" s="240">
        <f>SUMIF($B$65:$B$66,"DR",O65:O66)</f>
        <v>11936000.653372737</v>
      </c>
      <c r="P74" s="72">
        <f>SUMIF($B$65:$B$66,"DR",P65:P66)</f>
        <v>10429789.820000652</v>
      </c>
      <c r="Q74" s="72">
        <f>SUMIF($B$65:$B$66,"DR",Q65:Q66)</f>
        <v>-1506210.8333720835</v>
      </c>
      <c r="R74" s="73">
        <f>IF(O74&gt;0,Q74/O74,0)</f>
        <v>-0.12619057899820707</v>
      </c>
    </row>
    <row r="75" spans="1:20" x14ac:dyDescent="0.4">
      <c r="D75" s="58" t="s">
        <v>72</v>
      </c>
      <c r="E75" s="23">
        <f>SUMIF($B$10:$B$58,"Other",E10:E58)</f>
        <v>43</v>
      </c>
      <c r="F75" s="44"/>
      <c r="G75" s="93">
        <f>SUMIF($B$10:$B$58,"Other",G10:G58)</f>
        <v>0</v>
      </c>
      <c r="H75" s="66">
        <f>SUMIF($B$10:$B$58,"Other",H10:H58)</f>
        <v>0</v>
      </c>
      <c r="I75" s="66">
        <f>SUMIF($B$10:$B$58,"Other",I10:I58)</f>
        <v>0</v>
      </c>
      <c r="J75" s="73">
        <f>IF(G75&gt;0,I75/G75,0)</f>
        <v>0</v>
      </c>
      <c r="K75" s="93">
        <f>SUMIF($B$10:$B$58,"Other",K10:K58)</f>
        <v>0</v>
      </c>
      <c r="L75" s="66">
        <f>SUMIF($B$10:$B$58,"Other",L10:L58)</f>
        <v>0</v>
      </c>
      <c r="M75" s="66">
        <f>SUMIF($B$10:$B$58,"Other",M10:M58)</f>
        <v>0</v>
      </c>
      <c r="N75" s="73">
        <f>IF(K75&gt;0,M75/K75,0)</f>
        <v>0</v>
      </c>
      <c r="O75" s="50">
        <f>SUMIF($B$10:$B$58,"Other",O10:O58)</f>
        <v>1605000</v>
      </c>
      <c r="P75" s="50">
        <f>SUMIF($B$10:$B$58,"Other",P10:P58)</f>
        <v>1909636.17</v>
      </c>
      <c r="Q75" s="50">
        <f>SUMIF($B$10:$B$58,"Other",Q10:Q58)</f>
        <v>304636.17000000004</v>
      </c>
      <c r="R75" s="73">
        <f>IF(O75&gt;0,Q75/O75,0)</f>
        <v>0.18980446728971964</v>
      </c>
    </row>
    <row r="76" spans="1:20" x14ac:dyDescent="0.4">
      <c r="D76" s="235" t="s">
        <v>112</v>
      </c>
      <c r="E76" s="51">
        <f>SUM(E72:E75)</f>
        <v>570596</v>
      </c>
      <c r="F76" s="52"/>
      <c r="G76" s="67">
        <f>SUM(G72:G75)</f>
        <v>140944146.07999998</v>
      </c>
      <c r="H76" s="67">
        <f t="shared" ref="H76:I76" si="20">SUM(H72:H75)</f>
        <v>96170426.292265758</v>
      </c>
      <c r="I76" s="67">
        <f t="shared" si="20"/>
        <v>-44773719.787734225</v>
      </c>
      <c r="J76" s="80">
        <f>IF(G76&gt;0,I76/G76,0)</f>
        <v>-0.31766994964317735</v>
      </c>
      <c r="K76" s="67">
        <f>SUM(K72:K75)</f>
        <v>308032.66360739095</v>
      </c>
      <c r="L76" s="67">
        <f t="shared" ref="L76:M76" si="21">SUM(L72:L75)</f>
        <v>341746.63107347192</v>
      </c>
      <c r="M76" s="67">
        <f t="shared" si="21"/>
        <v>33713.967466080991</v>
      </c>
      <c r="N76" s="80">
        <f>IF(K76&gt;0,M76/K76,0)</f>
        <v>0.10944932615669548</v>
      </c>
      <c r="O76" s="81">
        <f>SUM(O72:O75)</f>
        <v>44315555.962823749</v>
      </c>
      <c r="P76" s="81">
        <f t="shared" ref="P76:Q76" si="22">SUM(P72:P75)</f>
        <v>32318196.059999995</v>
      </c>
      <c r="Q76" s="81">
        <f t="shared" si="22"/>
        <v>-11997359.902823748</v>
      </c>
      <c r="R76" s="54">
        <f>IF(O76&gt;0,Q76/O76,0)</f>
        <v>-0.27072569986233086</v>
      </c>
    </row>
    <row r="77" spans="1:20" x14ac:dyDescent="0.4">
      <c r="E77" s="56"/>
      <c r="P77" s="59"/>
    </row>
    <row r="78" spans="1:20" x14ac:dyDescent="0.4">
      <c r="D78" s="6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80" spans="1:20" ht="12.75" customHeight="1" x14ac:dyDescent="0.75">
      <c r="G80" s="69"/>
    </row>
  </sheetData>
  <mergeCells count="7">
    <mergeCell ref="E71:F71"/>
    <mergeCell ref="D2:R2"/>
    <mergeCell ref="D3:R3"/>
    <mergeCell ref="D4:R4"/>
    <mergeCell ref="D5:R5"/>
    <mergeCell ref="E9:F9"/>
    <mergeCell ref="E64:F64"/>
  </mergeCells>
  <conditionalFormatting sqref="A10:A58">
    <cfRule type="duplicateValues" dxfId="35" priority="28"/>
  </conditionalFormatting>
  <printOptions horizontalCentered="1" verticalCentered="1"/>
  <pageMargins left="0.25" right="0.25" top="0.75" bottom="0.75" header="0.3" footer="0.3"/>
  <pageSetup scale="71" orientation="landscape" r:id="rId1"/>
  <headerFooter>
    <oddHeader>&amp;R&amp;"-,Regular"&amp;11 2021 Exhibit B
Plan v Actual Variances by Program
EEP-2018-0002</oddHeader>
    <oddFooter><![CDATA[&C&"-,Regular"&11Page &P of &N&R&"-,Regular"&11&F]]>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EEF0-F9FE-499D-9903-828714E3F0A9}">
  <sheetPr codeName="Sheet2">
    <pageSetUpPr fitToPage="1"/>
  </sheetPr>
  <dimension ref="A2:T73"/>
  <sheetViews>
    <sheetView view="pageLayout" topLeftCell="C4" zoomScaleNormal="90" workbookViewId="0">
      <selection activeCell="F61" sqref="F61"/>
    </sheetView>
  </sheetViews>
  <sheetFormatPr defaultColWidth="9.1328125" defaultRowHeight="13.15" outlineLevelCol="1" x14ac:dyDescent="0.4"/>
  <cols>
    <col min="1" max="1" customWidth="true" hidden="true" style="1" width="14.1328125" outlineLevel="1" collapsed="false"/>
    <col min="2" max="2" customWidth="true" hidden="true" style="1" width="11.73046875" outlineLevel="1" collapsed="false"/>
    <col min="3" max="3" customWidth="true" style="29" width="38.73046875" collapsed="true"/>
    <col min="4" max="4" customWidth="true" style="29" width="10.0" collapsed="false"/>
    <col min="5" max="5" customWidth="true" style="29" width="3.0" collapsed="false"/>
    <col min="6" max="7" bestFit="true" customWidth="true" style="29" width="12.0" collapsed="false"/>
    <col min="8" max="8" bestFit="true" customWidth="true" style="29" width="11.59765625" collapsed="false"/>
    <col min="9" max="9" bestFit="true" customWidth="true" style="29" width="10.59765625" collapsed="false"/>
    <col min="10" max="10" bestFit="true" customWidth="true" style="29" width="8.59765625" collapsed="false"/>
    <col min="11" max="11" bestFit="true" customWidth="true" style="29" width="11.1328125" collapsed="false"/>
    <col min="12" max="12" bestFit="true" customWidth="true" style="29" width="8.73046875" collapsed="false"/>
    <col min="13" max="13" bestFit="true" customWidth="true" style="29" width="10.59765625" collapsed="false"/>
    <col min="14" max="16" customWidth="true" style="29" width="14.265625" collapsed="false"/>
    <col min="17" max="17" bestFit="true" customWidth="true" style="29" width="10.59765625" collapsed="false"/>
    <col min="18" max="22" customWidth="true" style="1" width="9.1328125" collapsed="false"/>
    <col min="23" max="16384" style="1" width="9.1328125" collapsed="false"/>
  </cols>
  <sheetData>
    <row r="2" spans="1:20" ht="15.75" customHeight="1" x14ac:dyDescent="0.5">
      <c r="C2" s="243" t="s">
        <v>15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20" ht="15.75" customHeight="1" x14ac:dyDescent="0.5">
      <c r="C3" s="243" t="str">
        <f>'Elec Gross'!C3</f>
        <v>2021 Iowa Energy Efficiency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20" ht="15.75" customHeight="1" x14ac:dyDescent="0.5">
      <c r="C4" s="243" t="s">
        <v>17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20" ht="18" x14ac:dyDescent="0.55000000000000004">
      <c r="C5" s="248" t="s">
        <v>25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7" spans="1:20" x14ac:dyDescent="0.4">
      <c r="C7" s="30"/>
      <c r="D7" s="30"/>
      <c r="E7" s="31"/>
      <c r="F7" s="82" t="s">
        <v>2</v>
      </c>
      <c r="G7" s="82" t="s">
        <v>3</v>
      </c>
      <c r="H7" s="82"/>
      <c r="I7" s="83"/>
      <c r="J7" s="82" t="s">
        <v>2</v>
      </c>
      <c r="K7" s="82" t="s">
        <v>3</v>
      </c>
      <c r="L7" s="82"/>
      <c r="M7" s="83"/>
      <c r="N7" s="84"/>
      <c r="O7" s="84"/>
      <c r="P7" s="82"/>
      <c r="Q7" s="83"/>
    </row>
    <row r="8" spans="1:20" x14ac:dyDescent="0.4">
      <c r="C8" s="34"/>
      <c r="D8" s="34"/>
      <c r="E8" s="35"/>
      <c r="F8" s="85" t="s">
        <v>61</v>
      </c>
      <c r="G8" s="85" t="s">
        <v>61</v>
      </c>
      <c r="H8" s="1"/>
      <c r="I8" s="37" t="s">
        <v>6</v>
      </c>
      <c r="J8" s="85" t="s">
        <v>62</v>
      </c>
      <c r="K8" s="85" t="s">
        <v>62</v>
      </c>
      <c r="L8" s="85"/>
      <c r="M8" s="37" t="s">
        <v>6</v>
      </c>
      <c r="N8" s="85" t="s">
        <v>2</v>
      </c>
      <c r="O8" s="85" t="s">
        <v>3</v>
      </c>
      <c r="P8" s="85"/>
      <c r="Q8" s="37" t="s">
        <v>6</v>
      </c>
    </row>
    <row r="9" spans="1:20" x14ac:dyDescent="0.4">
      <c r="A9" s="1" t="s">
        <v>26</v>
      </c>
      <c r="B9" s="1" t="s">
        <v>27</v>
      </c>
      <c r="C9" s="34" t="s">
        <v>11</v>
      </c>
      <c r="D9" s="244" t="s">
        <v>10</v>
      </c>
      <c r="E9" s="245"/>
      <c r="F9" s="86" t="s">
        <v>60</v>
      </c>
      <c r="G9" s="86" t="s">
        <v>60</v>
      </c>
      <c r="H9" s="86" t="s">
        <v>4</v>
      </c>
      <c r="I9" s="87" t="s">
        <v>7</v>
      </c>
      <c r="J9" s="86" t="s">
        <v>60</v>
      </c>
      <c r="K9" s="86" t="s">
        <v>60</v>
      </c>
      <c r="L9" s="86" t="s">
        <v>4</v>
      </c>
      <c r="M9" s="87" t="s">
        <v>7</v>
      </c>
      <c r="N9" s="86" t="s">
        <v>8</v>
      </c>
      <c r="O9" s="86" t="s">
        <v>8</v>
      </c>
      <c r="P9" s="86" t="s">
        <v>4</v>
      </c>
      <c r="Q9" s="87" t="s">
        <v>7</v>
      </c>
    </row>
    <row r="10" spans="1:20" s="2" customFormat="1" x14ac:dyDescent="0.4">
      <c r="A10" s="27">
        <v>98856</v>
      </c>
      <c r="B10" s="27" t="s">
        <v>93</v>
      </c>
      <c r="C10" s="30" t="s">
        <v>64</v>
      </c>
      <c r="D10" s="22">
        <v>14829</v>
      </c>
      <c r="E10" s="39"/>
      <c r="F10" s="22">
        <f>IF(A10="",0,INDEX('Gas Actual'!P:P,MATCH(A10,'Gas Actual'!$A:$A,0)))</f>
        <v>731497.00800000015</v>
      </c>
      <c r="G10" s="40">
        <v>1085616.812200061</v>
      </c>
      <c r="H10" s="40">
        <f>G10-F10</f>
        <v>354119.8042000609</v>
      </c>
      <c r="I10" s="41">
        <f>IF(F10&gt;0,H10/F10,0)</f>
        <v>0.48410287441676159</v>
      </c>
      <c r="J10" s="22">
        <f>IF(A10="",0,INDEX('Gas Actual'!S:S,MATCH(A10,'Gas Actual'!$A:$A,0)))</f>
        <v>12087.927498533223</v>
      </c>
      <c r="K10" s="40">
        <v>17938.939599999383</v>
      </c>
      <c r="L10" s="40">
        <f>K10-J10</f>
        <v>5851.0121014661599</v>
      </c>
      <c r="M10" s="41">
        <f>IF(J10&gt;0,L10/J10,0)</f>
        <v>0.48403765675928606</v>
      </c>
      <c r="N10" s="42">
        <f>IF(A10="",0,INDEX('Gas Actual'!M:M,MATCH(A10,'Gas Actual'!$A:$A,0)))</f>
        <v>1726236.3627234176</v>
      </c>
      <c r="O10" s="42">
        <f>IF(A10="",0,INDEX('Gas Actual'!L:L,MATCH(A10,'Gas Actual'!$A:$A,0)))</f>
        <v>2387071.3248988139</v>
      </c>
      <c r="P10" s="43">
        <f t="shared" ref="P10:P11" si="0">O10-N10</f>
        <v>660834.96217539627</v>
      </c>
      <c r="Q10" s="41">
        <f t="shared" ref="Q10:Q11" si="1">IF(N10&gt;0,P10/N10,0)</f>
        <v>0.38281835352652521</v>
      </c>
      <c r="R10" s="3"/>
      <c r="S10" s="11"/>
      <c r="T10" s="3"/>
    </row>
    <row r="11" spans="1:20" s="2" customFormat="1" x14ac:dyDescent="0.4">
      <c r="A11" s="27">
        <v>98855</v>
      </c>
      <c r="B11" s="27" t="s">
        <v>93</v>
      </c>
      <c r="C11" s="34" t="s">
        <v>85</v>
      </c>
      <c r="D11" s="23">
        <v>26822</v>
      </c>
      <c r="E11" s="44"/>
      <c r="F11" s="23">
        <f>IF(A11="",0,INDEX('Gas Actual'!P:P,MATCH(A11,'Gas Actual'!$A:$A,0)))</f>
        <v>265920.00000000006</v>
      </c>
      <c r="G11" s="25">
        <v>181963.05592727032</v>
      </c>
      <c r="H11" s="25">
        <f>G11-F11</f>
        <v>-83956.944072729733</v>
      </c>
      <c r="I11" s="45">
        <f>IF(F11&gt;0,H11/F11,0)</f>
        <v>-0.31572256345039756</v>
      </c>
      <c r="J11" s="23">
        <f>IF(A11="",0,INDEX('Gas Actual'!S:S,MATCH(A11,'Gas Actual'!$A:$A,0)))</f>
        <v>728.54794520547966</v>
      </c>
      <c r="K11" s="25">
        <v>471.43077142190754</v>
      </c>
      <c r="L11" s="25">
        <f>K11-J11</f>
        <v>-257.11717378357213</v>
      </c>
      <c r="M11" s="45">
        <f>IF(J11&gt;0,L11/J11,0)</f>
        <v>-0.35291730005642225</v>
      </c>
      <c r="N11" s="43">
        <f>IF(A11="",0,INDEX('Gas Actual'!M:M,MATCH(A11,'Gas Actual'!$A:$A,0)))</f>
        <v>859629.73144861101</v>
      </c>
      <c r="O11" s="43">
        <f>IF(A11="",0,INDEX('Gas Actual'!L:L,MATCH(A11,'Gas Actual'!$A:$A,0)))</f>
        <v>405411.72773391043</v>
      </c>
      <c r="P11" s="43">
        <f t="shared" si="0"/>
        <v>-454218.00371470058</v>
      </c>
      <c r="Q11" s="45">
        <f t="shared" si="1"/>
        <v>-0.52838796414041189</v>
      </c>
      <c r="R11" s="3"/>
      <c r="S11" s="11"/>
      <c r="T11" s="3"/>
    </row>
    <row r="12" spans="1:20" s="2" customFormat="1" x14ac:dyDescent="0.4">
      <c r="A12" s="27">
        <v>98854</v>
      </c>
      <c r="B12" s="27" t="s">
        <v>93</v>
      </c>
      <c r="C12" s="34" t="s">
        <v>69</v>
      </c>
      <c r="D12" s="23">
        <v>3476</v>
      </c>
      <c r="E12" s="44"/>
      <c r="F12" s="23">
        <f>IF(A12="",0,INDEX('Gas Actual'!P:P,MATCH(A12,'Gas Actual'!$A:$A,0)))</f>
        <v>36646</v>
      </c>
      <c r="G12" s="25">
        <v>33238.35</v>
      </c>
      <c r="H12" s="25">
        <f t="shared" ref="H12:H59" si="2">G12-F12</f>
        <v>-3407.6500000000015</v>
      </c>
      <c r="I12" s="45">
        <f t="shared" ref="I12:I59" si="3">IF(F12&gt;0,H12/F12,0)</f>
        <v>-9.2988320689843404E-2</v>
      </c>
      <c r="J12" s="23">
        <f>IF(A12="",0,INDEX('Gas Actual'!S:S,MATCH(A12,'Gas Actual'!$A:$A,0)))</f>
        <v>381.02466793168878</v>
      </c>
      <c r="K12" s="25">
        <v>377.93380000000082</v>
      </c>
      <c r="L12" s="25">
        <f t="shared" ref="L12:L59" si="4">K12-J12</f>
        <v>-3.090867931687967</v>
      </c>
      <c r="M12" s="45">
        <f t="shared" ref="M12:M59" si="5">IF(J12&gt;0,L12/J12,0)</f>
        <v>-8.1119890438225029E-3</v>
      </c>
      <c r="N12" s="43">
        <f>IF(A12="",0,INDEX('Gas Actual'!M:M,MATCH(A12,'Gas Actual'!$A:$A,0)))</f>
        <v>1255947.9855349886</v>
      </c>
      <c r="O12" s="43">
        <f>IF(A12="",0,INDEX('Gas Actual'!L:L,MATCH(A12,'Gas Actual'!$A:$A,0)))</f>
        <v>1119860.2025883466</v>
      </c>
      <c r="P12" s="43">
        <f>O12-N12</f>
        <v>-136087.78294664202</v>
      </c>
      <c r="Q12" s="45">
        <f>IF(N12&gt;0,P12/N12,0)</f>
        <v>-0.10835463292587991</v>
      </c>
      <c r="R12" s="3"/>
      <c r="S12" s="11"/>
      <c r="T12" s="3"/>
    </row>
    <row r="13" spans="1:20" s="2" customFormat="1" x14ac:dyDescent="0.4">
      <c r="A13" s="27">
        <v>98865</v>
      </c>
      <c r="B13" s="27" t="s">
        <v>93</v>
      </c>
      <c r="C13" s="34" t="s">
        <v>89</v>
      </c>
      <c r="D13" s="23">
        <v>0</v>
      </c>
      <c r="E13" s="44"/>
      <c r="F13" s="23">
        <f>IF(A13="",0,INDEX('Gas Actual'!P:P,MATCH(A13,'Gas Actual'!$A:$A,0)))</f>
        <v>0</v>
      </c>
      <c r="G13" s="25">
        <v>0</v>
      </c>
      <c r="H13" s="25">
        <f t="shared" si="2"/>
        <v>0</v>
      </c>
      <c r="I13" s="45">
        <f t="shared" si="3"/>
        <v>0</v>
      </c>
      <c r="J13" s="23">
        <f>IF(A13="",0,INDEX('Gas Actual'!S:S,MATCH(A13,'Gas Actual'!$A:$A,0)))</f>
        <v>0</v>
      </c>
      <c r="K13" s="25">
        <v>0</v>
      </c>
      <c r="L13" s="25">
        <f t="shared" si="4"/>
        <v>0</v>
      </c>
      <c r="M13" s="45">
        <f t="shared" si="5"/>
        <v>0</v>
      </c>
      <c r="N13" s="43">
        <f>IF(A13="",0,INDEX('Gas Actual'!M:M,MATCH(A13,'Gas Actual'!$A:$A,0)))</f>
        <v>280000</v>
      </c>
      <c r="O13" s="43">
        <f>IF(A13="",0,INDEX('Gas Actual'!L:L,MATCH(A13,'Gas Actual'!$A:$A,0)))</f>
        <v>108361.64880333429</v>
      </c>
      <c r="P13" s="43">
        <f>O13-N13</f>
        <v>-171638.35119666572</v>
      </c>
      <c r="Q13" s="45">
        <f>IF(N13&gt;0,P13/N13,0)</f>
        <v>-0.61299411141666327</v>
      </c>
      <c r="R13" s="3"/>
      <c r="S13" s="11"/>
      <c r="T13" s="3"/>
    </row>
    <row r="14" spans="1:20" s="2" customFormat="1" x14ac:dyDescent="0.4">
      <c r="A14" s="27">
        <v>98858</v>
      </c>
      <c r="B14" s="27" t="s">
        <v>94</v>
      </c>
      <c r="C14" s="34" t="s">
        <v>67</v>
      </c>
      <c r="D14" s="23">
        <v>21067</v>
      </c>
      <c r="E14" s="44"/>
      <c r="F14" s="23">
        <f>IF(A14="",0,INDEX('Gas Actual'!P:P,MATCH(A14,'Gas Actual'!$A:$A,0)))</f>
        <v>131412.06000000003</v>
      </c>
      <c r="G14" s="25">
        <v>5812.2230000000072</v>
      </c>
      <c r="H14" s="25">
        <f t="shared" si="2"/>
        <v>-125599.83700000001</v>
      </c>
      <c r="I14" s="45">
        <f t="shared" si="3"/>
        <v>-0.95577100762289235</v>
      </c>
      <c r="J14" s="23">
        <f>IF(A14="",0,INDEX('Gas Actual'!S:S,MATCH(A14,'Gas Actual'!$A:$A,0)))</f>
        <v>1625.5198057555504</v>
      </c>
      <c r="K14" s="25">
        <v>390.94929999999988</v>
      </c>
      <c r="L14" s="25">
        <f t="shared" si="4"/>
        <v>-1234.5705057555506</v>
      </c>
      <c r="M14" s="45">
        <f t="shared" si="5"/>
        <v>-0.75949274895590435</v>
      </c>
      <c r="N14" s="43">
        <f>IF(A14="",0,INDEX('Gas Actual'!M:M,MATCH(A14,'Gas Actual'!$A:$A,0)))</f>
        <v>288089.37600000005</v>
      </c>
      <c r="O14" s="43">
        <f>IF(A14="",0,INDEX('Gas Actual'!L:L,MATCH(A14,'Gas Actual'!$A:$A,0)))</f>
        <v>158150.1565068973</v>
      </c>
      <c r="P14" s="43">
        <f t="shared" ref="P14:P59" si="6">O14-N14</f>
        <v>-129939.21949310275</v>
      </c>
      <c r="Q14" s="45">
        <f t="shared" ref="Q14:Q59" si="7">IF(N14&gt;0,P14/N14,0)</f>
        <v>-0.45103787337545809</v>
      </c>
      <c r="R14" s="3"/>
      <c r="S14" s="11"/>
      <c r="T14" s="3"/>
    </row>
    <row r="15" spans="1:20" s="2" customFormat="1" x14ac:dyDescent="0.4">
      <c r="A15" s="27">
        <v>98859</v>
      </c>
      <c r="B15" s="27" t="s">
        <v>94</v>
      </c>
      <c r="C15" s="34" t="s">
        <v>77</v>
      </c>
      <c r="D15" s="23">
        <v>2915</v>
      </c>
      <c r="E15" s="44"/>
      <c r="F15" s="23">
        <f>IF(A15="",0,INDEX('Gas Actual'!P:P,MATCH(A15,'Gas Actual'!$A:$A,0)))</f>
        <v>262622.52000000008</v>
      </c>
      <c r="G15" s="25">
        <v>64552.672200000001</v>
      </c>
      <c r="H15" s="25">
        <f t="shared" si="2"/>
        <v>-198069.84780000008</v>
      </c>
      <c r="I15" s="45">
        <f t="shared" si="3"/>
        <v>-0.75419978378091879</v>
      </c>
      <c r="J15" s="23">
        <f>IF(A15="",0,INDEX('Gas Actual'!S:S,MATCH(A15,'Gas Actual'!$A:$A,0)))</f>
        <v>2777.9418943438268</v>
      </c>
      <c r="K15" s="25">
        <v>494.0147</v>
      </c>
      <c r="L15" s="25">
        <f t="shared" si="4"/>
        <v>-2283.9271943438266</v>
      </c>
      <c r="M15" s="45">
        <f t="shared" si="5"/>
        <v>-0.82216521482833582</v>
      </c>
      <c r="N15" s="43">
        <f>IF(A15="",0,INDEX('Gas Actual'!M:M,MATCH(A15,'Gas Actual'!$A:$A,0)))</f>
        <v>723299.44359762047</v>
      </c>
      <c r="O15" s="43">
        <f>IF(A15="",0,INDEX('Gas Actual'!L:L,MATCH(A15,'Gas Actual'!$A:$A,0)))</f>
        <v>348104.29574915441</v>
      </c>
      <c r="P15" s="43">
        <f t="shared" si="6"/>
        <v>-375195.14784846606</v>
      </c>
      <c r="Q15" s="45">
        <f t="shared" si="7"/>
        <v>-0.51872727287371079</v>
      </c>
      <c r="R15" s="3"/>
      <c r="S15" s="11"/>
      <c r="T15" s="3"/>
    </row>
    <row r="16" spans="1:20" s="2" customFormat="1" x14ac:dyDescent="0.4">
      <c r="A16" s="27">
        <v>98851</v>
      </c>
      <c r="B16" s="27" t="s">
        <v>94</v>
      </c>
      <c r="C16" s="34" t="s">
        <v>68</v>
      </c>
      <c r="D16" s="23">
        <v>148</v>
      </c>
      <c r="E16" s="44"/>
      <c r="F16" s="23">
        <f>IF(A16="",0,INDEX('Gas Actual'!P:P,MATCH(A16,'Gas Actual'!$A:$A,0)))</f>
        <v>0</v>
      </c>
      <c r="G16" s="25">
        <v>72949</v>
      </c>
      <c r="H16" s="25">
        <f t="shared" si="2"/>
        <v>72949</v>
      </c>
      <c r="I16" s="45">
        <f t="shared" si="3"/>
        <v>0</v>
      </c>
      <c r="J16" s="23">
        <f>IF(A16="",0,INDEX('Gas Actual'!S:S,MATCH(A16,'Gas Actual'!$A:$A,0)))</f>
        <v>0</v>
      </c>
      <c r="K16" s="25">
        <v>949</v>
      </c>
      <c r="L16" s="25">
        <f t="shared" si="4"/>
        <v>949</v>
      </c>
      <c r="M16" s="45">
        <f t="shared" si="5"/>
        <v>0</v>
      </c>
      <c r="N16" s="43">
        <f>IF(A16="",0,INDEX('Gas Actual'!M:M,MATCH(A16,'Gas Actual'!$A:$A,0)))</f>
        <v>0</v>
      </c>
      <c r="O16" s="43">
        <f>IF(A16="",0,INDEX('Gas Actual'!L:L,MATCH(A16,'Gas Actual'!$A:$A,0)))</f>
        <v>-266621.63</v>
      </c>
      <c r="P16" s="43">
        <f t="shared" si="6"/>
        <v>-266621.63</v>
      </c>
      <c r="Q16" s="45">
        <f t="shared" si="7"/>
        <v>0</v>
      </c>
      <c r="R16" s="3"/>
      <c r="S16" s="11"/>
      <c r="T16" s="3"/>
    </row>
    <row r="17" spans="1:20" s="2" customFormat="1" x14ac:dyDescent="0.4">
      <c r="A17" s="27">
        <v>98850</v>
      </c>
      <c r="B17" s="27" t="s">
        <v>94</v>
      </c>
      <c r="C17" s="34" t="s">
        <v>86</v>
      </c>
      <c r="D17" s="23">
        <v>6373</v>
      </c>
      <c r="E17" s="46"/>
      <c r="F17" s="23">
        <f>IF(A17="",0,INDEX('Gas Actual'!P:P,MATCH(A17,'Gas Actual'!$A:$A,0)))</f>
        <v>253750</v>
      </c>
      <c r="G17" s="25">
        <v>28661.237399999998</v>
      </c>
      <c r="H17" s="25">
        <f t="shared" si="2"/>
        <v>-225088.76260000002</v>
      </c>
      <c r="I17" s="45">
        <f t="shared" si="3"/>
        <v>-0.88704931073891635</v>
      </c>
      <c r="J17" s="23">
        <f>IF(A17="",0,INDEX('Gas Actual'!S:S,MATCH(A17,'Gas Actual'!$A:$A,0)))</f>
        <v>3863.8756320948887</v>
      </c>
      <c r="K17" s="25">
        <v>272.08170000000007</v>
      </c>
      <c r="L17" s="25">
        <f t="shared" si="4"/>
        <v>-3591.7939320948885</v>
      </c>
      <c r="M17" s="45">
        <f t="shared" si="5"/>
        <v>-0.9295832149099259</v>
      </c>
      <c r="N17" s="43">
        <f>IF(A17="",0,INDEX('Gas Actual'!M:M,MATCH(A17,'Gas Actual'!$A:$A,0)))</f>
        <v>966783.50933168514</v>
      </c>
      <c r="O17" s="43">
        <f>IF(A17="",0,INDEX('Gas Actual'!L:L,MATCH(A17,'Gas Actual'!$A:$A,0)))</f>
        <v>231973.08318217774</v>
      </c>
      <c r="P17" s="43">
        <f t="shared" si="6"/>
        <v>-734810.4261495074</v>
      </c>
      <c r="Q17" s="45">
        <f t="shared" si="7"/>
        <v>-0.76005684732610379</v>
      </c>
      <c r="R17" s="3"/>
      <c r="S17" s="11"/>
      <c r="T17" s="3"/>
    </row>
    <row r="18" spans="1:20" s="2" customFormat="1" x14ac:dyDescent="0.4">
      <c r="A18" s="27">
        <v>98864</v>
      </c>
      <c r="B18" s="27" t="s">
        <v>94</v>
      </c>
      <c r="C18" s="34" t="s">
        <v>90</v>
      </c>
      <c r="D18" s="23">
        <v>0</v>
      </c>
      <c r="E18" s="44"/>
      <c r="F18" s="23">
        <f>IF(A18="",0,INDEX('Gas Actual'!P:P,MATCH(A18,'Gas Actual'!$A:$A,0)))</f>
        <v>0</v>
      </c>
      <c r="G18" s="25">
        <v>0</v>
      </c>
      <c r="H18" s="25">
        <f t="shared" si="2"/>
        <v>0</v>
      </c>
      <c r="I18" s="45">
        <f t="shared" si="3"/>
        <v>0</v>
      </c>
      <c r="J18" s="23">
        <f>IF(A18="",0,INDEX('Gas Actual'!S:S,MATCH(A18,'Gas Actual'!$A:$A,0)))</f>
        <v>0</v>
      </c>
      <c r="K18" s="25">
        <v>0</v>
      </c>
      <c r="L18" s="25">
        <f t="shared" si="4"/>
        <v>0</v>
      </c>
      <c r="M18" s="45">
        <f t="shared" si="5"/>
        <v>0</v>
      </c>
      <c r="N18" s="43">
        <f>IF(A18="",0,INDEX('Gas Actual'!M:M,MATCH(A18,'Gas Actual'!$A:$A,0)))</f>
        <v>120000</v>
      </c>
      <c r="O18" s="43">
        <f>IF(A18="",0,INDEX('Gas Actual'!L:L,MATCH(A18,'Gas Actual'!$A:$A,0)))</f>
        <v>53847.70053736517</v>
      </c>
      <c r="P18" s="43">
        <f t="shared" si="6"/>
        <v>-66152.299462634837</v>
      </c>
      <c r="Q18" s="45">
        <f t="shared" si="7"/>
        <v>-0.55126916218862365</v>
      </c>
      <c r="R18" s="3"/>
      <c r="S18" s="11"/>
      <c r="T18" s="3"/>
    </row>
    <row r="19" spans="1:20" s="2" customFormat="1" x14ac:dyDescent="0.4">
      <c r="A19" s="27">
        <v>98645</v>
      </c>
      <c r="B19" s="27" t="s">
        <v>72</v>
      </c>
      <c r="C19" s="34" t="s">
        <v>91</v>
      </c>
      <c r="D19" s="23">
        <v>12</v>
      </c>
      <c r="E19" s="44"/>
      <c r="F19" s="23">
        <f>IF(A19="",0,INDEX('Gas Actual'!P:P,MATCH(A19,'Gas Actual'!$A:$A,0)))</f>
        <v>0</v>
      </c>
      <c r="G19" s="25">
        <v>0</v>
      </c>
      <c r="H19" s="25">
        <f t="shared" si="2"/>
        <v>0</v>
      </c>
      <c r="I19" s="45">
        <f t="shared" si="3"/>
        <v>0</v>
      </c>
      <c r="J19" s="23">
        <f>IF(A19="",0,INDEX('Gas Actual'!S:S,MATCH(A19,'Gas Actual'!$A:$A,0)))</f>
        <v>0</v>
      </c>
      <c r="K19" s="25">
        <v>0</v>
      </c>
      <c r="L19" s="25">
        <f t="shared" si="4"/>
        <v>0</v>
      </c>
      <c r="M19" s="45">
        <f t="shared" si="5"/>
        <v>0</v>
      </c>
      <c r="N19" s="43">
        <f>IF(A19="",0,INDEX('Gas Actual'!M:M,MATCH(A19,'Gas Actual'!$A:$A,0)))</f>
        <v>45000</v>
      </c>
      <c r="O19" s="43">
        <f>IF(A19="",0,INDEX('Gas Actual'!L:L,MATCH(A19,'Gas Actual'!$A:$A,0)))</f>
        <v>48497.87</v>
      </c>
      <c r="P19" s="43">
        <f t="shared" si="6"/>
        <v>3497.8700000000026</v>
      </c>
      <c r="Q19" s="45">
        <f t="shared" si="7"/>
        <v>7.7730444444444505E-2</v>
      </c>
      <c r="R19" s="3"/>
      <c r="S19" s="11"/>
      <c r="T19" s="3"/>
    </row>
    <row r="20" spans="1:20" s="2" customFormat="1" x14ac:dyDescent="0.4">
      <c r="A20" s="27">
        <v>98656</v>
      </c>
      <c r="B20" s="27" t="s">
        <v>72</v>
      </c>
      <c r="C20" s="34" t="s">
        <v>98</v>
      </c>
      <c r="D20" s="23">
        <v>0</v>
      </c>
      <c r="E20" s="44"/>
      <c r="F20" s="23">
        <f>IF(A20="",0,INDEX('Gas Actual'!P:P,MATCH(A20,'Gas Actual'!$A:$A,0)))</f>
        <v>0</v>
      </c>
      <c r="G20" s="25">
        <v>0</v>
      </c>
      <c r="H20" s="25">
        <f t="shared" si="2"/>
        <v>0</v>
      </c>
      <c r="I20" s="45">
        <f t="shared" si="3"/>
        <v>0</v>
      </c>
      <c r="J20" s="23">
        <f>IF(A20="",0,INDEX('Gas Actual'!S:S,MATCH(A20,'Gas Actual'!$A:$A,0)))</f>
        <v>0</v>
      </c>
      <c r="K20" s="25">
        <v>0</v>
      </c>
      <c r="L20" s="25">
        <f t="shared" si="4"/>
        <v>0</v>
      </c>
      <c r="M20" s="45">
        <f t="shared" si="5"/>
        <v>0</v>
      </c>
      <c r="N20" s="43">
        <f>IF(A20="",0,INDEX('Gas Actual'!M:M,MATCH(A20,'Gas Actual'!$A:$A,0)))</f>
        <v>500000</v>
      </c>
      <c r="O20" s="43">
        <f>IF(A20="",0,INDEX('Gas Actual'!L:L,MATCH(A20,'Gas Actual'!$A:$A,0)))</f>
        <v>394114.65</v>
      </c>
      <c r="P20" s="43">
        <f t="shared" si="6"/>
        <v>-105885.34999999998</v>
      </c>
      <c r="Q20" s="45">
        <f t="shared" si="7"/>
        <v>-0.21177069999999995</v>
      </c>
      <c r="R20" s="3"/>
      <c r="S20" s="11"/>
      <c r="T20" s="3"/>
    </row>
    <row r="21" spans="1:20" s="2" customFormat="1" hidden="1" x14ac:dyDescent="0.4">
      <c r="A21" s="27"/>
      <c r="B21" s="27" t="s">
        <v>92</v>
      </c>
      <c r="C21" s="34" t="s">
        <v>92</v>
      </c>
      <c r="D21" s="23"/>
      <c r="E21" s="44"/>
      <c r="F21" s="23">
        <f>IF(A21="",0,INDEX('Gas Actual'!P:P,MATCH(A21,'Gas Actual'!$A:$A,0)))</f>
        <v>0</v>
      </c>
      <c r="G21" s="25"/>
      <c r="H21" s="25">
        <f t="shared" si="2"/>
        <v>0</v>
      </c>
      <c r="I21" s="45">
        <f t="shared" si="3"/>
        <v>0</v>
      </c>
      <c r="J21" s="23">
        <f>IF(A21="",0,INDEX('Gas Actual'!S:S,MATCH(A21,'Gas Actual'!$A:$A,0)))</f>
        <v>0</v>
      </c>
      <c r="K21" s="25"/>
      <c r="L21" s="25">
        <f t="shared" si="4"/>
        <v>0</v>
      </c>
      <c r="M21" s="45">
        <f t="shared" si="5"/>
        <v>0</v>
      </c>
      <c r="N21" s="43">
        <f>IF(A21="",0,INDEX('Gas Actual'!M:M,MATCH(A21,'Gas Actual'!$A:$A,0)))</f>
        <v>0</v>
      </c>
      <c r="O21" s="43">
        <f>IF(A21="",0,INDEX('Gas Actual'!L:L,MATCH(A21,'Gas Actual'!$A:$A,0)))</f>
        <v>0</v>
      </c>
      <c r="P21" s="43">
        <f t="shared" si="6"/>
        <v>0</v>
      </c>
      <c r="Q21" s="45">
        <f t="shared" si="7"/>
        <v>0</v>
      </c>
      <c r="R21" s="3"/>
      <c r="S21" s="11"/>
      <c r="T21" s="3"/>
    </row>
    <row r="22" spans="1:20" s="2" customFormat="1" hidden="1" x14ac:dyDescent="0.4">
      <c r="A22" s="27"/>
      <c r="B22" s="27" t="s">
        <v>92</v>
      </c>
      <c r="C22" s="34" t="s">
        <v>92</v>
      </c>
      <c r="D22" s="23"/>
      <c r="E22" s="44"/>
      <c r="F22" s="23">
        <f>IF(A22="",0,INDEX('Gas Actual'!P:P,MATCH(A22,'Gas Actual'!$A:$A,0)))</f>
        <v>0</v>
      </c>
      <c r="G22" s="25"/>
      <c r="H22" s="25">
        <f t="shared" si="2"/>
        <v>0</v>
      </c>
      <c r="I22" s="45">
        <f t="shared" si="3"/>
        <v>0</v>
      </c>
      <c r="J22" s="23">
        <f>IF(A22="",0,INDEX('Gas Actual'!S:S,MATCH(A22,'Gas Actual'!$A:$A,0)))</f>
        <v>0</v>
      </c>
      <c r="K22" s="25"/>
      <c r="L22" s="25">
        <f t="shared" si="4"/>
        <v>0</v>
      </c>
      <c r="M22" s="45">
        <f t="shared" si="5"/>
        <v>0</v>
      </c>
      <c r="N22" s="43">
        <f>IF(A22="",0,INDEX('Gas Actual'!M:M,MATCH(A22,'Gas Actual'!$A:$A,0)))</f>
        <v>0</v>
      </c>
      <c r="O22" s="43">
        <f>IF(A22="",0,INDEX('Gas Actual'!L:L,MATCH(A22,'Gas Actual'!$A:$A,0)))</f>
        <v>0</v>
      </c>
      <c r="P22" s="43">
        <f t="shared" si="6"/>
        <v>0</v>
      </c>
      <c r="Q22" s="45">
        <f t="shared" si="7"/>
        <v>0</v>
      </c>
      <c r="R22" s="3"/>
      <c r="S22" s="11"/>
      <c r="T22" s="3"/>
    </row>
    <row r="23" spans="1:20" s="2" customFormat="1" hidden="1" x14ac:dyDescent="0.4">
      <c r="A23" s="27"/>
      <c r="B23" s="27" t="s">
        <v>92</v>
      </c>
      <c r="C23" s="34" t="s">
        <v>92</v>
      </c>
      <c r="D23" s="23"/>
      <c r="E23" s="44"/>
      <c r="F23" s="23">
        <f>IF(A23="",0,INDEX('Gas Actual'!P:P,MATCH(A23,'Gas Actual'!$A:$A,0)))</f>
        <v>0</v>
      </c>
      <c r="G23" s="25"/>
      <c r="H23" s="25">
        <f t="shared" si="2"/>
        <v>0</v>
      </c>
      <c r="I23" s="45">
        <f t="shared" si="3"/>
        <v>0</v>
      </c>
      <c r="J23" s="23">
        <f>IF(A23="",0,INDEX('Gas Actual'!S:S,MATCH(A23,'Gas Actual'!$A:$A,0)))</f>
        <v>0</v>
      </c>
      <c r="K23" s="25"/>
      <c r="L23" s="25">
        <f t="shared" si="4"/>
        <v>0</v>
      </c>
      <c r="M23" s="45">
        <f t="shared" si="5"/>
        <v>0</v>
      </c>
      <c r="N23" s="43">
        <f>IF(A23="",0,INDEX('Gas Actual'!M:M,MATCH(A23,'Gas Actual'!$A:$A,0)))</f>
        <v>0</v>
      </c>
      <c r="O23" s="43">
        <f>IF(A23="",0,INDEX('Gas Actual'!L:L,MATCH(A23,'Gas Actual'!$A:$A,0)))</f>
        <v>0</v>
      </c>
      <c r="P23" s="43">
        <f t="shared" si="6"/>
        <v>0</v>
      </c>
      <c r="Q23" s="45">
        <f t="shared" si="7"/>
        <v>0</v>
      </c>
      <c r="R23" s="3"/>
      <c r="S23" s="11"/>
      <c r="T23" s="3"/>
    </row>
    <row r="24" spans="1:20" s="2" customFormat="1" hidden="1" x14ac:dyDescent="0.4">
      <c r="A24" s="27"/>
      <c r="B24" s="27" t="s">
        <v>92</v>
      </c>
      <c r="C24" s="34" t="s">
        <v>92</v>
      </c>
      <c r="D24" s="23"/>
      <c r="E24" s="44"/>
      <c r="F24" s="23">
        <f>IF(A24="",0,INDEX('Gas Actual'!P:P,MATCH(A24,'Gas Actual'!$A:$A,0)))</f>
        <v>0</v>
      </c>
      <c r="G24" s="25"/>
      <c r="H24" s="25">
        <f t="shared" si="2"/>
        <v>0</v>
      </c>
      <c r="I24" s="45">
        <f t="shared" si="3"/>
        <v>0</v>
      </c>
      <c r="J24" s="23">
        <f>IF(A24="",0,INDEX('Gas Actual'!S:S,MATCH(A24,'Gas Actual'!$A:$A,0)))</f>
        <v>0</v>
      </c>
      <c r="K24" s="25"/>
      <c r="L24" s="25">
        <f t="shared" si="4"/>
        <v>0</v>
      </c>
      <c r="M24" s="45">
        <f t="shared" si="5"/>
        <v>0</v>
      </c>
      <c r="N24" s="43">
        <f>IF(A24="",0,INDEX('Gas Actual'!M:M,MATCH(A24,'Gas Actual'!$A:$A,0)))</f>
        <v>0</v>
      </c>
      <c r="O24" s="43">
        <f>IF(A24="",0,INDEX('Gas Actual'!L:L,MATCH(A24,'Gas Actual'!$A:$A,0)))</f>
        <v>0</v>
      </c>
      <c r="P24" s="43">
        <f t="shared" si="6"/>
        <v>0</v>
      </c>
      <c r="Q24" s="45">
        <f t="shared" si="7"/>
        <v>0</v>
      </c>
      <c r="R24" s="3"/>
      <c r="S24" s="11"/>
      <c r="T24" s="3"/>
    </row>
    <row r="25" spans="1:20" s="2" customFormat="1" hidden="1" x14ac:dyDescent="0.4">
      <c r="A25" s="27"/>
      <c r="B25" s="27" t="s">
        <v>92</v>
      </c>
      <c r="C25" s="34" t="s">
        <v>92</v>
      </c>
      <c r="D25" s="23"/>
      <c r="E25" s="44"/>
      <c r="F25" s="23">
        <f>IF(A25="",0,INDEX('Gas Actual'!P:P,MATCH(A25,'Gas Actual'!$A:$A,0)))</f>
        <v>0</v>
      </c>
      <c r="G25" s="25"/>
      <c r="H25" s="25">
        <f t="shared" si="2"/>
        <v>0</v>
      </c>
      <c r="I25" s="45">
        <f t="shared" si="3"/>
        <v>0</v>
      </c>
      <c r="J25" s="23">
        <f>IF(A25="",0,INDEX('Gas Actual'!S:S,MATCH(A25,'Gas Actual'!$A:$A,0)))</f>
        <v>0</v>
      </c>
      <c r="K25" s="25"/>
      <c r="L25" s="25">
        <f t="shared" si="4"/>
        <v>0</v>
      </c>
      <c r="M25" s="45">
        <f t="shared" si="5"/>
        <v>0</v>
      </c>
      <c r="N25" s="43">
        <f>IF(A25="",0,INDEX('Gas Actual'!M:M,MATCH(A25,'Gas Actual'!$A:$A,0)))</f>
        <v>0</v>
      </c>
      <c r="O25" s="43">
        <f>IF(A25="",0,INDEX('Gas Actual'!L:L,MATCH(A25,'Gas Actual'!$A:$A,0)))</f>
        <v>0</v>
      </c>
      <c r="P25" s="43">
        <f t="shared" si="6"/>
        <v>0</v>
      </c>
      <c r="Q25" s="45">
        <f t="shared" si="7"/>
        <v>0</v>
      </c>
      <c r="R25" s="3"/>
      <c r="S25" s="11"/>
      <c r="T25" s="3"/>
    </row>
    <row r="26" spans="1:20" s="2" customFormat="1" hidden="1" x14ac:dyDescent="0.4">
      <c r="A26" s="27"/>
      <c r="B26" s="27" t="s">
        <v>92</v>
      </c>
      <c r="C26" s="34" t="s">
        <v>92</v>
      </c>
      <c r="D26" s="23"/>
      <c r="E26" s="44"/>
      <c r="F26" s="23">
        <f>IF(A26="",0,INDEX('Gas Actual'!P:P,MATCH(A26,'Gas Actual'!$A:$A,0)))</f>
        <v>0</v>
      </c>
      <c r="G26" s="25"/>
      <c r="H26" s="25">
        <f t="shared" si="2"/>
        <v>0</v>
      </c>
      <c r="I26" s="45">
        <f t="shared" si="3"/>
        <v>0</v>
      </c>
      <c r="J26" s="23">
        <f>IF(A26="",0,INDEX('Gas Actual'!S:S,MATCH(A26,'Gas Actual'!$A:$A,0)))</f>
        <v>0</v>
      </c>
      <c r="K26" s="25"/>
      <c r="L26" s="25">
        <f t="shared" si="4"/>
        <v>0</v>
      </c>
      <c r="M26" s="45">
        <f t="shared" si="5"/>
        <v>0</v>
      </c>
      <c r="N26" s="43">
        <f>IF(A26="",0,INDEX('Gas Actual'!M:M,MATCH(A26,'Gas Actual'!$A:$A,0)))</f>
        <v>0</v>
      </c>
      <c r="O26" s="43">
        <f>IF(A26="",0,INDEX('Gas Actual'!L:L,MATCH(A26,'Gas Actual'!$A:$A,0)))</f>
        <v>0</v>
      </c>
      <c r="P26" s="43">
        <f t="shared" si="6"/>
        <v>0</v>
      </c>
      <c r="Q26" s="45">
        <f t="shared" si="7"/>
        <v>0</v>
      </c>
      <c r="R26" s="5"/>
      <c r="S26" s="10"/>
      <c r="T26" s="5"/>
    </row>
    <row r="27" spans="1:20" s="2" customFormat="1" hidden="1" x14ac:dyDescent="0.4">
      <c r="A27" s="27"/>
      <c r="B27" s="27" t="s">
        <v>92</v>
      </c>
      <c r="C27" s="34" t="s">
        <v>92</v>
      </c>
      <c r="D27" s="23"/>
      <c r="E27" s="44"/>
      <c r="F27" s="23">
        <f>IF(A27="",0,INDEX('Gas Actual'!P:P,MATCH(A27,'Gas Actual'!$A:$A,0)))</f>
        <v>0</v>
      </c>
      <c r="G27" s="25"/>
      <c r="H27" s="25">
        <f t="shared" si="2"/>
        <v>0</v>
      </c>
      <c r="I27" s="45">
        <f t="shared" si="3"/>
        <v>0</v>
      </c>
      <c r="J27" s="23">
        <f>IF(A27="",0,INDEX('Gas Actual'!S:S,MATCH(A27,'Gas Actual'!$A:$A,0)))</f>
        <v>0</v>
      </c>
      <c r="K27" s="25"/>
      <c r="L27" s="25">
        <f t="shared" si="4"/>
        <v>0</v>
      </c>
      <c r="M27" s="45">
        <f t="shared" si="5"/>
        <v>0</v>
      </c>
      <c r="N27" s="43">
        <f>IF(A27="",0,INDEX('Gas Actual'!M:M,MATCH(A27,'Gas Actual'!$A:$A,0)))</f>
        <v>0</v>
      </c>
      <c r="O27" s="43">
        <f>IF(A27="",0,INDEX('Gas Actual'!L:L,MATCH(A27,'Gas Actual'!$A:$A,0)))</f>
        <v>0</v>
      </c>
      <c r="P27" s="43">
        <f t="shared" si="6"/>
        <v>0</v>
      </c>
      <c r="Q27" s="45">
        <f t="shared" si="7"/>
        <v>0</v>
      </c>
      <c r="R27" s="5"/>
      <c r="T27" s="5"/>
    </row>
    <row r="28" spans="1:20" s="2" customFormat="1" hidden="1" x14ac:dyDescent="0.4">
      <c r="A28" s="27"/>
      <c r="B28" s="27" t="s">
        <v>92</v>
      </c>
      <c r="C28" s="34" t="s">
        <v>92</v>
      </c>
      <c r="D28" s="23"/>
      <c r="E28" s="44"/>
      <c r="F28" s="23">
        <f>IF(A28="",0,INDEX('Gas Actual'!P:P,MATCH(A28,'Gas Actual'!$A:$A,0)))</f>
        <v>0</v>
      </c>
      <c r="G28" s="25"/>
      <c r="H28" s="25">
        <f t="shared" si="2"/>
        <v>0</v>
      </c>
      <c r="I28" s="45">
        <f t="shared" si="3"/>
        <v>0</v>
      </c>
      <c r="J28" s="23">
        <f>IF(A28="",0,INDEX('Gas Actual'!S:S,MATCH(A28,'Gas Actual'!$A:$A,0)))</f>
        <v>0</v>
      </c>
      <c r="K28" s="25"/>
      <c r="L28" s="25">
        <f t="shared" si="4"/>
        <v>0</v>
      </c>
      <c r="M28" s="45">
        <f t="shared" si="5"/>
        <v>0</v>
      </c>
      <c r="N28" s="43">
        <f>IF(A28="",0,INDEX('Gas Actual'!M:M,MATCH(A28,'Gas Actual'!$A:$A,0)))</f>
        <v>0</v>
      </c>
      <c r="O28" s="43">
        <f>IF(A28="",0,INDEX('Gas Actual'!L:L,MATCH(A28,'Gas Actual'!$A:$A,0)))</f>
        <v>0</v>
      </c>
      <c r="P28" s="43">
        <f t="shared" si="6"/>
        <v>0</v>
      </c>
      <c r="Q28" s="45">
        <f t="shared" si="7"/>
        <v>0</v>
      </c>
      <c r="R28" s="3"/>
      <c r="S28" s="4"/>
      <c r="T28" s="3"/>
    </row>
    <row r="29" spans="1:20" s="2" customFormat="1" hidden="1" x14ac:dyDescent="0.4">
      <c r="A29" s="27"/>
      <c r="B29" s="27" t="s">
        <v>92</v>
      </c>
      <c r="C29" s="34" t="s">
        <v>92</v>
      </c>
      <c r="D29" s="23"/>
      <c r="E29" s="44"/>
      <c r="F29" s="23">
        <f>IF(A29="",0,INDEX('Gas Actual'!P:P,MATCH(A29,'Gas Actual'!$A:$A,0)))</f>
        <v>0</v>
      </c>
      <c r="G29" s="25"/>
      <c r="H29" s="25">
        <f t="shared" si="2"/>
        <v>0</v>
      </c>
      <c r="I29" s="45">
        <f t="shared" si="3"/>
        <v>0</v>
      </c>
      <c r="J29" s="23">
        <f>IF(A29="",0,INDEX('Gas Actual'!S:S,MATCH(A29,'Gas Actual'!$A:$A,0)))</f>
        <v>0</v>
      </c>
      <c r="K29" s="25"/>
      <c r="L29" s="25">
        <f t="shared" si="4"/>
        <v>0</v>
      </c>
      <c r="M29" s="45">
        <f t="shared" si="5"/>
        <v>0</v>
      </c>
      <c r="N29" s="43">
        <f>IF(A29="",0,INDEX('Gas Actual'!M:M,MATCH(A29,'Gas Actual'!$A:$A,0)))</f>
        <v>0</v>
      </c>
      <c r="O29" s="43">
        <f>IF(A29="",0,INDEX('Gas Actual'!L:L,MATCH(A29,'Gas Actual'!$A:$A,0)))</f>
        <v>0</v>
      </c>
      <c r="P29" s="43">
        <f t="shared" si="6"/>
        <v>0</v>
      </c>
      <c r="Q29" s="45">
        <f t="shared" si="7"/>
        <v>0</v>
      </c>
      <c r="R29" s="3"/>
      <c r="S29" s="4"/>
      <c r="T29" s="3"/>
    </row>
    <row r="30" spans="1:20" s="2" customFormat="1" hidden="1" x14ac:dyDescent="0.4">
      <c r="A30" s="27"/>
      <c r="B30" s="27" t="s">
        <v>92</v>
      </c>
      <c r="C30" s="34" t="s">
        <v>92</v>
      </c>
      <c r="D30" s="23"/>
      <c r="E30" s="44"/>
      <c r="F30" s="23">
        <f>IF(A30="",0,INDEX('Gas Actual'!P:P,MATCH(A30,'Gas Actual'!$A:$A,0)))</f>
        <v>0</v>
      </c>
      <c r="G30" s="25"/>
      <c r="H30" s="25">
        <f t="shared" si="2"/>
        <v>0</v>
      </c>
      <c r="I30" s="45">
        <f t="shared" si="3"/>
        <v>0</v>
      </c>
      <c r="J30" s="23">
        <f>IF(A30="",0,INDEX('Gas Actual'!S:S,MATCH(A30,'Gas Actual'!$A:$A,0)))</f>
        <v>0</v>
      </c>
      <c r="K30" s="25"/>
      <c r="L30" s="25">
        <f t="shared" si="4"/>
        <v>0</v>
      </c>
      <c r="M30" s="45">
        <f t="shared" si="5"/>
        <v>0</v>
      </c>
      <c r="N30" s="43">
        <f>IF(A30="",0,INDEX('Gas Actual'!M:M,MATCH(A30,'Gas Actual'!$A:$A,0)))</f>
        <v>0</v>
      </c>
      <c r="O30" s="43">
        <f>IF(A30="",0,INDEX('Gas Actual'!L:L,MATCH(A30,'Gas Actual'!$A:$A,0)))</f>
        <v>0</v>
      </c>
      <c r="P30" s="43">
        <f t="shared" si="6"/>
        <v>0</v>
      </c>
      <c r="Q30" s="45">
        <f t="shared" si="7"/>
        <v>0</v>
      </c>
      <c r="R30" s="3"/>
      <c r="S30" s="4"/>
      <c r="T30" s="3"/>
    </row>
    <row r="31" spans="1:20" s="2" customFormat="1" hidden="1" x14ac:dyDescent="0.4">
      <c r="A31" s="27"/>
      <c r="B31" s="27" t="s">
        <v>92</v>
      </c>
      <c r="C31" s="34" t="s">
        <v>92</v>
      </c>
      <c r="D31" s="23"/>
      <c r="E31" s="44"/>
      <c r="F31" s="23">
        <f>IF(A31="",0,INDEX('Gas Actual'!P:P,MATCH(A31,'Gas Actual'!$A:$A,0)))</f>
        <v>0</v>
      </c>
      <c r="G31" s="25"/>
      <c r="H31" s="25">
        <f t="shared" si="2"/>
        <v>0</v>
      </c>
      <c r="I31" s="45">
        <f t="shared" si="3"/>
        <v>0</v>
      </c>
      <c r="J31" s="23">
        <f>IF(A31="",0,INDEX('Gas Actual'!S:S,MATCH(A31,'Gas Actual'!$A:$A,0)))</f>
        <v>0</v>
      </c>
      <c r="K31" s="25"/>
      <c r="L31" s="25">
        <f t="shared" si="4"/>
        <v>0</v>
      </c>
      <c r="M31" s="45">
        <f t="shared" si="5"/>
        <v>0</v>
      </c>
      <c r="N31" s="43">
        <f>IF(A31="",0,INDEX('Gas Actual'!M:M,MATCH(A31,'Gas Actual'!$A:$A,0)))</f>
        <v>0</v>
      </c>
      <c r="O31" s="43">
        <f>IF(A31="",0,INDEX('Gas Actual'!L:L,MATCH(A31,'Gas Actual'!$A:$A,0)))</f>
        <v>0</v>
      </c>
      <c r="P31" s="43">
        <f t="shared" si="6"/>
        <v>0</v>
      </c>
      <c r="Q31" s="45">
        <f t="shared" si="7"/>
        <v>0</v>
      </c>
      <c r="R31" s="3"/>
      <c r="S31" s="4"/>
      <c r="T31" s="3"/>
    </row>
    <row r="32" spans="1:20" s="2" customFormat="1" hidden="1" x14ac:dyDescent="0.4">
      <c r="A32" s="27"/>
      <c r="B32" s="27" t="s">
        <v>92</v>
      </c>
      <c r="C32" s="34" t="s">
        <v>92</v>
      </c>
      <c r="D32" s="23"/>
      <c r="E32" s="44"/>
      <c r="F32" s="23">
        <f>IF(A32="",0,INDEX('Gas Actual'!P:P,MATCH(A32,'Gas Actual'!$A:$A,0)))</f>
        <v>0</v>
      </c>
      <c r="G32" s="25"/>
      <c r="H32" s="25">
        <f t="shared" si="2"/>
        <v>0</v>
      </c>
      <c r="I32" s="45">
        <f t="shared" si="3"/>
        <v>0</v>
      </c>
      <c r="J32" s="23">
        <f>IF(A32="",0,INDEX('Gas Actual'!S:S,MATCH(A32,'Gas Actual'!$A:$A,0)))</f>
        <v>0</v>
      </c>
      <c r="K32" s="25"/>
      <c r="L32" s="25">
        <f t="shared" si="4"/>
        <v>0</v>
      </c>
      <c r="M32" s="45">
        <f t="shared" si="5"/>
        <v>0</v>
      </c>
      <c r="N32" s="43">
        <f>IF(A32="",0,INDEX('Gas Actual'!M:M,MATCH(A32,'Gas Actual'!$A:$A,0)))</f>
        <v>0</v>
      </c>
      <c r="O32" s="43">
        <f>IF(A32="",0,INDEX('Gas Actual'!L:L,MATCH(A32,'Gas Actual'!$A:$A,0)))</f>
        <v>0</v>
      </c>
      <c r="P32" s="43">
        <f t="shared" si="6"/>
        <v>0</v>
      </c>
      <c r="Q32" s="45">
        <f t="shared" si="7"/>
        <v>0</v>
      </c>
      <c r="R32" s="3"/>
      <c r="S32" s="4"/>
      <c r="T32" s="3"/>
    </row>
    <row r="33" spans="1:20" s="2" customFormat="1" hidden="1" x14ac:dyDescent="0.4">
      <c r="A33" s="27"/>
      <c r="B33" s="27" t="s">
        <v>92</v>
      </c>
      <c r="C33" s="34" t="s">
        <v>92</v>
      </c>
      <c r="D33" s="23"/>
      <c r="E33" s="44"/>
      <c r="F33" s="23">
        <f>IF(A33="",0,INDEX('Gas Actual'!P:P,MATCH(A33,'Gas Actual'!$A:$A,0)))</f>
        <v>0</v>
      </c>
      <c r="G33" s="25"/>
      <c r="H33" s="25">
        <f t="shared" si="2"/>
        <v>0</v>
      </c>
      <c r="I33" s="45">
        <f t="shared" si="3"/>
        <v>0</v>
      </c>
      <c r="J33" s="23">
        <f>IF(A33="",0,INDEX('Gas Actual'!S:S,MATCH(A33,'Gas Actual'!$A:$A,0)))</f>
        <v>0</v>
      </c>
      <c r="K33" s="25"/>
      <c r="L33" s="25">
        <f t="shared" si="4"/>
        <v>0</v>
      </c>
      <c r="M33" s="45">
        <f t="shared" si="5"/>
        <v>0</v>
      </c>
      <c r="N33" s="43">
        <f>IF(A33="",0,INDEX('Gas Actual'!M:M,MATCH(A33,'Gas Actual'!$A:$A,0)))</f>
        <v>0</v>
      </c>
      <c r="O33" s="43">
        <f>IF(A33="",0,INDEX('Gas Actual'!L:L,MATCH(A33,'Gas Actual'!$A:$A,0)))</f>
        <v>0</v>
      </c>
      <c r="P33" s="43">
        <f t="shared" si="6"/>
        <v>0</v>
      </c>
      <c r="Q33" s="45">
        <f t="shared" si="7"/>
        <v>0</v>
      </c>
      <c r="R33" s="3"/>
      <c r="S33" s="4"/>
      <c r="T33" s="3"/>
    </row>
    <row r="34" spans="1:20" s="2" customFormat="1" hidden="1" x14ac:dyDescent="0.4">
      <c r="A34" s="27"/>
      <c r="B34" s="27" t="s">
        <v>92</v>
      </c>
      <c r="C34" s="34" t="s">
        <v>92</v>
      </c>
      <c r="D34" s="23"/>
      <c r="E34" s="44"/>
      <c r="F34" s="23">
        <f>IF(A34="",0,INDEX('Gas Actual'!P:P,MATCH(A34,'Gas Actual'!$A:$A,0)))</f>
        <v>0</v>
      </c>
      <c r="G34" s="25"/>
      <c r="H34" s="25">
        <f t="shared" si="2"/>
        <v>0</v>
      </c>
      <c r="I34" s="45">
        <f t="shared" si="3"/>
        <v>0</v>
      </c>
      <c r="J34" s="23">
        <f>IF(A34="",0,INDEX('Gas Actual'!S:S,MATCH(A34,'Gas Actual'!$A:$A,0)))</f>
        <v>0</v>
      </c>
      <c r="K34" s="25"/>
      <c r="L34" s="25">
        <f t="shared" si="4"/>
        <v>0</v>
      </c>
      <c r="M34" s="45">
        <f t="shared" si="5"/>
        <v>0</v>
      </c>
      <c r="N34" s="43">
        <f>IF(A34="",0,INDEX('Gas Actual'!M:M,MATCH(A34,'Gas Actual'!$A:$A,0)))</f>
        <v>0</v>
      </c>
      <c r="O34" s="43">
        <f>IF(A34="",0,INDEX('Gas Actual'!L:L,MATCH(A34,'Gas Actual'!$A:$A,0)))</f>
        <v>0</v>
      </c>
      <c r="P34" s="43">
        <f t="shared" si="6"/>
        <v>0</v>
      </c>
      <c r="Q34" s="45">
        <f t="shared" si="7"/>
        <v>0</v>
      </c>
      <c r="R34" s="3"/>
      <c r="S34" s="4"/>
      <c r="T34" s="3"/>
    </row>
    <row r="35" spans="1:20" s="2" customFormat="1" hidden="1" x14ac:dyDescent="0.4">
      <c r="A35" s="27"/>
      <c r="B35" s="27" t="s">
        <v>92</v>
      </c>
      <c r="C35" s="34" t="s">
        <v>92</v>
      </c>
      <c r="D35" s="23"/>
      <c r="E35" s="44"/>
      <c r="F35" s="23">
        <f>IF(A35="",0,INDEX('Gas Actual'!P:P,MATCH(A35,'Gas Actual'!$A:$A,0)))</f>
        <v>0</v>
      </c>
      <c r="G35" s="25"/>
      <c r="H35" s="25">
        <f t="shared" si="2"/>
        <v>0</v>
      </c>
      <c r="I35" s="45">
        <f t="shared" si="3"/>
        <v>0</v>
      </c>
      <c r="J35" s="23">
        <f>IF(A35="",0,INDEX('Gas Actual'!S:S,MATCH(A35,'Gas Actual'!$A:$A,0)))</f>
        <v>0</v>
      </c>
      <c r="K35" s="25"/>
      <c r="L35" s="25">
        <f t="shared" si="4"/>
        <v>0</v>
      </c>
      <c r="M35" s="45">
        <f t="shared" si="5"/>
        <v>0</v>
      </c>
      <c r="N35" s="43">
        <f>IF(A35="",0,INDEX('Gas Actual'!M:M,MATCH(A35,'Gas Actual'!$A:$A,0)))</f>
        <v>0</v>
      </c>
      <c r="O35" s="43">
        <f>IF(A35="",0,INDEX('Gas Actual'!L:L,MATCH(A35,'Gas Actual'!$A:$A,0)))</f>
        <v>0</v>
      </c>
      <c r="P35" s="43">
        <f t="shared" si="6"/>
        <v>0</v>
      </c>
      <c r="Q35" s="45">
        <f t="shared" si="7"/>
        <v>0</v>
      </c>
      <c r="R35" s="3"/>
      <c r="S35" s="4"/>
      <c r="T35" s="3"/>
    </row>
    <row r="36" spans="1:20" s="2" customFormat="1" hidden="1" x14ac:dyDescent="0.4">
      <c r="A36" s="27"/>
      <c r="B36" s="27" t="s">
        <v>92</v>
      </c>
      <c r="C36" s="34" t="s">
        <v>92</v>
      </c>
      <c r="D36" s="23"/>
      <c r="E36" s="44"/>
      <c r="F36" s="23">
        <f>IF(A36="",0,INDEX('Gas Actual'!P:P,MATCH(A36,'Gas Actual'!$A:$A,0)))</f>
        <v>0</v>
      </c>
      <c r="G36" s="25"/>
      <c r="H36" s="25">
        <f t="shared" si="2"/>
        <v>0</v>
      </c>
      <c r="I36" s="45">
        <f t="shared" si="3"/>
        <v>0</v>
      </c>
      <c r="J36" s="23">
        <f>IF(A36="",0,INDEX('Gas Actual'!S:S,MATCH(A36,'Gas Actual'!$A:$A,0)))</f>
        <v>0</v>
      </c>
      <c r="K36" s="25"/>
      <c r="L36" s="25">
        <f t="shared" si="4"/>
        <v>0</v>
      </c>
      <c r="M36" s="45">
        <f t="shared" si="5"/>
        <v>0</v>
      </c>
      <c r="N36" s="43">
        <f>IF(A36="",0,INDEX('Gas Actual'!M:M,MATCH(A36,'Gas Actual'!$A:$A,0)))</f>
        <v>0</v>
      </c>
      <c r="O36" s="43">
        <f>IF(A36="",0,INDEX('Gas Actual'!L:L,MATCH(A36,'Gas Actual'!$A:$A,0)))</f>
        <v>0</v>
      </c>
      <c r="P36" s="43">
        <f t="shared" si="6"/>
        <v>0</v>
      </c>
      <c r="Q36" s="45">
        <f t="shared" si="7"/>
        <v>0</v>
      </c>
      <c r="R36" s="3"/>
      <c r="S36" s="4"/>
      <c r="T36" s="3"/>
    </row>
    <row r="37" spans="1:20" s="2" customFormat="1" hidden="1" x14ac:dyDescent="0.4">
      <c r="A37" s="27"/>
      <c r="B37" s="27" t="s">
        <v>92</v>
      </c>
      <c r="C37" s="34" t="s">
        <v>92</v>
      </c>
      <c r="D37" s="23"/>
      <c r="E37" s="44"/>
      <c r="F37" s="23">
        <f>IF(A37="",0,INDEX('Gas Actual'!P:P,MATCH(A37,'Gas Actual'!$A:$A,0)))</f>
        <v>0</v>
      </c>
      <c r="G37" s="25"/>
      <c r="H37" s="25">
        <f t="shared" si="2"/>
        <v>0</v>
      </c>
      <c r="I37" s="45">
        <f t="shared" si="3"/>
        <v>0</v>
      </c>
      <c r="J37" s="23">
        <f>IF(A37="",0,INDEX('Gas Actual'!S:S,MATCH(A37,'Gas Actual'!$A:$A,0)))</f>
        <v>0</v>
      </c>
      <c r="K37" s="25"/>
      <c r="L37" s="25">
        <f t="shared" si="4"/>
        <v>0</v>
      </c>
      <c r="M37" s="45">
        <f t="shared" si="5"/>
        <v>0</v>
      </c>
      <c r="N37" s="43">
        <f>IF(A37="",0,INDEX('Gas Actual'!M:M,MATCH(A37,'Gas Actual'!$A:$A,0)))</f>
        <v>0</v>
      </c>
      <c r="O37" s="43">
        <f>IF(A37="",0,INDEX('Gas Actual'!L:L,MATCH(A37,'Gas Actual'!$A:$A,0)))</f>
        <v>0</v>
      </c>
      <c r="P37" s="43">
        <f t="shared" si="6"/>
        <v>0</v>
      </c>
      <c r="Q37" s="45">
        <f t="shared" si="7"/>
        <v>0</v>
      </c>
      <c r="R37" s="3"/>
      <c r="S37" s="4"/>
      <c r="T37" s="3"/>
    </row>
    <row r="38" spans="1:20" s="2" customFormat="1" hidden="1" x14ac:dyDescent="0.4">
      <c r="A38" s="27"/>
      <c r="B38" s="27" t="s">
        <v>92</v>
      </c>
      <c r="C38" s="34" t="s">
        <v>92</v>
      </c>
      <c r="D38" s="23"/>
      <c r="E38" s="44"/>
      <c r="F38" s="23">
        <f>IF(A38="",0,INDEX('Gas Actual'!P:P,MATCH(A38,'Gas Actual'!$A:$A,0)))</f>
        <v>0</v>
      </c>
      <c r="G38" s="25"/>
      <c r="H38" s="25">
        <f t="shared" si="2"/>
        <v>0</v>
      </c>
      <c r="I38" s="45">
        <f t="shared" si="3"/>
        <v>0</v>
      </c>
      <c r="J38" s="23">
        <f>IF(A38="",0,INDEX('Gas Actual'!S:S,MATCH(A38,'Gas Actual'!$A:$A,0)))</f>
        <v>0</v>
      </c>
      <c r="K38" s="25"/>
      <c r="L38" s="25">
        <f t="shared" si="4"/>
        <v>0</v>
      </c>
      <c r="M38" s="45">
        <f t="shared" si="5"/>
        <v>0</v>
      </c>
      <c r="N38" s="43">
        <f>IF(A38="",0,INDEX('Gas Actual'!M:M,MATCH(A38,'Gas Actual'!$A:$A,0)))</f>
        <v>0</v>
      </c>
      <c r="O38" s="43">
        <f>IF(A38="",0,INDEX('Gas Actual'!L:L,MATCH(A38,'Gas Actual'!$A:$A,0)))</f>
        <v>0</v>
      </c>
      <c r="P38" s="43">
        <f t="shared" si="6"/>
        <v>0</v>
      </c>
      <c r="Q38" s="45">
        <f t="shared" si="7"/>
        <v>0</v>
      </c>
      <c r="R38" s="3"/>
      <c r="S38" s="4"/>
      <c r="T38" s="3"/>
    </row>
    <row r="39" spans="1:20" s="2" customFormat="1" hidden="1" x14ac:dyDescent="0.4">
      <c r="A39" s="27"/>
      <c r="B39" s="27" t="s">
        <v>92</v>
      </c>
      <c r="C39" s="34" t="s">
        <v>92</v>
      </c>
      <c r="D39" s="23"/>
      <c r="E39" s="44"/>
      <c r="F39" s="23">
        <f>IF(A39="",0,INDEX('Gas Actual'!P:P,MATCH(A39,'Gas Actual'!$A:$A,0)))</f>
        <v>0</v>
      </c>
      <c r="G39" s="25"/>
      <c r="H39" s="25">
        <f t="shared" si="2"/>
        <v>0</v>
      </c>
      <c r="I39" s="45">
        <f t="shared" si="3"/>
        <v>0</v>
      </c>
      <c r="J39" s="23">
        <f>IF(A39="",0,INDEX('Gas Actual'!S:S,MATCH(A39,'Gas Actual'!$A:$A,0)))</f>
        <v>0</v>
      </c>
      <c r="K39" s="25"/>
      <c r="L39" s="25">
        <f t="shared" si="4"/>
        <v>0</v>
      </c>
      <c r="M39" s="45">
        <f t="shared" si="5"/>
        <v>0</v>
      </c>
      <c r="N39" s="43">
        <f>IF(A39="",0,INDEX('Gas Actual'!M:M,MATCH(A39,'Gas Actual'!$A:$A,0)))</f>
        <v>0</v>
      </c>
      <c r="O39" s="43">
        <f>IF(A39="",0,INDEX('Gas Actual'!L:L,MATCH(A39,'Gas Actual'!$A:$A,0)))</f>
        <v>0</v>
      </c>
      <c r="P39" s="43">
        <f t="shared" si="6"/>
        <v>0</v>
      </c>
      <c r="Q39" s="45">
        <f t="shared" si="7"/>
        <v>0</v>
      </c>
      <c r="R39" s="3"/>
      <c r="S39" s="4"/>
      <c r="T39" s="3"/>
    </row>
    <row r="40" spans="1:20" s="2" customFormat="1" hidden="1" x14ac:dyDescent="0.4">
      <c r="A40" s="27"/>
      <c r="B40" s="27" t="s">
        <v>92</v>
      </c>
      <c r="C40" s="34" t="s">
        <v>92</v>
      </c>
      <c r="D40" s="23"/>
      <c r="E40" s="44"/>
      <c r="F40" s="23">
        <f>IF(A40="",0,INDEX('Gas Actual'!P:P,MATCH(A40,'Gas Actual'!$A:$A,0)))</f>
        <v>0</v>
      </c>
      <c r="G40" s="25"/>
      <c r="H40" s="25">
        <f t="shared" si="2"/>
        <v>0</v>
      </c>
      <c r="I40" s="45">
        <f t="shared" si="3"/>
        <v>0</v>
      </c>
      <c r="J40" s="23">
        <f>IF(A40="",0,INDEX('Gas Actual'!S:S,MATCH(A40,'Gas Actual'!$A:$A,0)))</f>
        <v>0</v>
      </c>
      <c r="K40" s="25"/>
      <c r="L40" s="25">
        <f t="shared" si="4"/>
        <v>0</v>
      </c>
      <c r="M40" s="45">
        <f t="shared" si="5"/>
        <v>0</v>
      </c>
      <c r="N40" s="43">
        <f>IF(A40="",0,INDEX('Gas Actual'!M:M,MATCH(A40,'Gas Actual'!$A:$A,0)))</f>
        <v>0</v>
      </c>
      <c r="O40" s="43">
        <f>IF(A40="",0,INDEX('Gas Actual'!L:L,MATCH(A40,'Gas Actual'!$A:$A,0)))</f>
        <v>0</v>
      </c>
      <c r="P40" s="43">
        <f t="shared" si="6"/>
        <v>0</v>
      </c>
      <c r="Q40" s="45">
        <f t="shared" si="7"/>
        <v>0</v>
      </c>
      <c r="R40" s="3"/>
      <c r="S40" s="4"/>
      <c r="T40" s="3"/>
    </row>
    <row r="41" spans="1:20" s="2" customFormat="1" hidden="1" x14ac:dyDescent="0.4">
      <c r="A41" s="27"/>
      <c r="B41" s="27" t="s">
        <v>92</v>
      </c>
      <c r="C41" s="34" t="s">
        <v>92</v>
      </c>
      <c r="D41" s="23"/>
      <c r="E41" s="44"/>
      <c r="F41" s="23">
        <f>IF(A41="",0,INDEX('Gas Actual'!P:P,MATCH(A41,'Gas Actual'!$A:$A,0)))</f>
        <v>0</v>
      </c>
      <c r="G41" s="25"/>
      <c r="H41" s="25">
        <f t="shared" si="2"/>
        <v>0</v>
      </c>
      <c r="I41" s="45">
        <f t="shared" si="3"/>
        <v>0</v>
      </c>
      <c r="J41" s="23">
        <f>IF(A41="",0,INDEX('Gas Actual'!S:S,MATCH(A41,'Gas Actual'!$A:$A,0)))</f>
        <v>0</v>
      </c>
      <c r="K41" s="25"/>
      <c r="L41" s="25">
        <f t="shared" si="4"/>
        <v>0</v>
      </c>
      <c r="M41" s="45">
        <f t="shared" si="5"/>
        <v>0</v>
      </c>
      <c r="N41" s="43">
        <f>IF(A41="",0,INDEX('Gas Actual'!M:M,MATCH(A41,'Gas Actual'!$A:$A,0)))</f>
        <v>0</v>
      </c>
      <c r="O41" s="43">
        <f>IF(A41="",0,INDEX('Gas Actual'!L:L,MATCH(A41,'Gas Actual'!$A:$A,0)))</f>
        <v>0</v>
      </c>
      <c r="P41" s="43">
        <f t="shared" si="6"/>
        <v>0</v>
      </c>
      <c r="Q41" s="45">
        <f t="shared" si="7"/>
        <v>0</v>
      </c>
      <c r="R41" s="3"/>
      <c r="S41" s="4"/>
      <c r="T41" s="3"/>
    </row>
    <row r="42" spans="1:20" s="2" customFormat="1" hidden="1" x14ac:dyDescent="0.4">
      <c r="A42" s="27"/>
      <c r="B42" s="27" t="s">
        <v>92</v>
      </c>
      <c r="C42" s="34" t="s">
        <v>92</v>
      </c>
      <c r="D42" s="23"/>
      <c r="E42" s="44"/>
      <c r="F42" s="23">
        <f>IF(A42="",0,INDEX('Gas Actual'!P:P,MATCH(A42,'Gas Actual'!$A:$A,0)))</f>
        <v>0</v>
      </c>
      <c r="G42" s="25"/>
      <c r="H42" s="25">
        <f t="shared" si="2"/>
        <v>0</v>
      </c>
      <c r="I42" s="45">
        <f t="shared" si="3"/>
        <v>0</v>
      </c>
      <c r="J42" s="23">
        <f>IF(A42="",0,INDEX('Gas Actual'!S:S,MATCH(A42,'Gas Actual'!$A:$A,0)))</f>
        <v>0</v>
      </c>
      <c r="K42" s="25"/>
      <c r="L42" s="25">
        <f t="shared" si="4"/>
        <v>0</v>
      </c>
      <c r="M42" s="45">
        <f t="shared" si="5"/>
        <v>0</v>
      </c>
      <c r="N42" s="43">
        <f>IF(A42="",0,INDEX('Gas Actual'!M:M,MATCH(A42,'Gas Actual'!$A:$A,0)))</f>
        <v>0</v>
      </c>
      <c r="O42" s="43">
        <f>IF(A42="",0,INDEX('Gas Actual'!L:L,MATCH(A42,'Gas Actual'!$A:$A,0)))</f>
        <v>0</v>
      </c>
      <c r="P42" s="43">
        <f t="shared" si="6"/>
        <v>0</v>
      </c>
      <c r="Q42" s="45">
        <f t="shared" si="7"/>
        <v>0</v>
      </c>
      <c r="R42" s="3"/>
      <c r="S42" s="4"/>
      <c r="T42" s="3"/>
    </row>
    <row r="43" spans="1:20" s="2" customFormat="1" hidden="1" x14ac:dyDescent="0.4">
      <c r="A43" s="27"/>
      <c r="B43" s="27" t="s">
        <v>92</v>
      </c>
      <c r="C43" s="34" t="s">
        <v>92</v>
      </c>
      <c r="D43" s="23"/>
      <c r="E43" s="44"/>
      <c r="F43" s="23">
        <f>IF(A43="",0,INDEX('Gas Actual'!P:P,MATCH(A43,'Gas Actual'!$A:$A,0)))</f>
        <v>0</v>
      </c>
      <c r="G43" s="25"/>
      <c r="H43" s="25">
        <f t="shared" si="2"/>
        <v>0</v>
      </c>
      <c r="I43" s="45">
        <f t="shared" si="3"/>
        <v>0</v>
      </c>
      <c r="J43" s="23">
        <f>IF(A43="",0,INDEX('Gas Actual'!S:S,MATCH(A43,'Gas Actual'!$A:$A,0)))</f>
        <v>0</v>
      </c>
      <c r="K43" s="25"/>
      <c r="L43" s="25">
        <f t="shared" si="4"/>
        <v>0</v>
      </c>
      <c r="M43" s="45">
        <f t="shared" si="5"/>
        <v>0</v>
      </c>
      <c r="N43" s="43">
        <f>IF(A43="",0,INDEX('Gas Actual'!M:M,MATCH(A43,'Gas Actual'!$A:$A,0)))</f>
        <v>0</v>
      </c>
      <c r="O43" s="43">
        <f>IF(A43="",0,INDEX('Gas Actual'!L:L,MATCH(A43,'Gas Actual'!$A:$A,0)))</f>
        <v>0</v>
      </c>
      <c r="P43" s="43">
        <f t="shared" si="6"/>
        <v>0</v>
      </c>
      <c r="Q43" s="45">
        <f t="shared" si="7"/>
        <v>0</v>
      </c>
      <c r="R43" s="3"/>
      <c r="S43" s="4"/>
      <c r="T43" s="3"/>
    </row>
    <row r="44" spans="1:20" s="2" customFormat="1" hidden="1" x14ac:dyDescent="0.4">
      <c r="A44" s="27"/>
      <c r="B44" s="27" t="s">
        <v>92</v>
      </c>
      <c r="C44" s="34" t="s">
        <v>92</v>
      </c>
      <c r="D44" s="23"/>
      <c r="E44" s="44"/>
      <c r="F44" s="23">
        <f>IF(A44="",0,INDEX('Gas Actual'!P:P,MATCH(A44,'Gas Actual'!$A:$A,0)))</f>
        <v>0</v>
      </c>
      <c r="G44" s="25"/>
      <c r="H44" s="25">
        <f t="shared" si="2"/>
        <v>0</v>
      </c>
      <c r="I44" s="45">
        <f t="shared" si="3"/>
        <v>0</v>
      </c>
      <c r="J44" s="23">
        <f>IF(A44="",0,INDEX('Gas Actual'!S:S,MATCH(A44,'Gas Actual'!$A:$A,0)))</f>
        <v>0</v>
      </c>
      <c r="K44" s="25"/>
      <c r="L44" s="25">
        <f t="shared" si="4"/>
        <v>0</v>
      </c>
      <c r="M44" s="45">
        <f t="shared" si="5"/>
        <v>0</v>
      </c>
      <c r="N44" s="43">
        <f>IF(A44="",0,INDEX('Gas Actual'!M:M,MATCH(A44,'Gas Actual'!$A:$A,0)))</f>
        <v>0</v>
      </c>
      <c r="O44" s="43">
        <f>IF(A44="",0,INDEX('Gas Actual'!L:L,MATCH(A44,'Gas Actual'!$A:$A,0)))</f>
        <v>0</v>
      </c>
      <c r="P44" s="43">
        <f t="shared" si="6"/>
        <v>0</v>
      </c>
      <c r="Q44" s="45">
        <f t="shared" si="7"/>
        <v>0</v>
      </c>
      <c r="R44" s="3"/>
      <c r="S44" s="4"/>
      <c r="T44" s="3"/>
    </row>
    <row r="45" spans="1:20" s="2" customFormat="1" hidden="1" x14ac:dyDescent="0.4">
      <c r="A45" s="27"/>
      <c r="B45" s="27" t="s">
        <v>92</v>
      </c>
      <c r="C45" s="34" t="s">
        <v>92</v>
      </c>
      <c r="D45" s="23"/>
      <c r="E45" s="44"/>
      <c r="F45" s="23">
        <f>IF(A45="",0,INDEX('Gas Actual'!P:P,MATCH(A45,'Gas Actual'!$A:$A,0)))</f>
        <v>0</v>
      </c>
      <c r="G45" s="25"/>
      <c r="H45" s="25">
        <f t="shared" si="2"/>
        <v>0</v>
      </c>
      <c r="I45" s="45">
        <f t="shared" si="3"/>
        <v>0</v>
      </c>
      <c r="J45" s="23">
        <f>IF(A45="",0,INDEX('Gas Actual'!S:S,MATCH(A45,'Gas Actual'!$A:$A,0)))</f>
        <v>0</v>
      </c>
      <c r="K45" s="25"/>
      <c r="L45" s="25">
        <f t="shared" si="4"/>
        <v>0</v>
      </c>
      <c r="M45" s="45">
        <f t="shared" si="5"/>
        <v>0</v>
      </c>
      <c r="N45" s="43">
        <f>IF(A45="",0,INDEX('Gas Actual'!M:M,MATCH(A45,'Gas Actual'!$A:$A,0)))</f>
        <v>0</v>
      </c>
      <c r="O45" s="43">
        <f>IF(A45="",0,INDEX('Gas Actual'!L:L,MATCH(A45,'Gas Actual'!$A:$A,0)))</f>
        <v>0</v>
      </c>
      <c r="P45" s="43">
        <f t="shared" si="6"/>
        <v>0</v>
      </c>
      <c r="Q45" s="45">
        <f t="shared" si="7"/>
        <v>0</v>
      </c>
      <c r="R45" s="3"/>
      <c r="S45" s="4"/>
      <c r="T45" s="3"/>
    </row>
    <row r="46" spans="1:20" s="2" customFormat="1" hidden="1" x14ac:dyDescent="0.4">
      <c r="A46" s="27"/>
      <c r="B46" s="27" t="s">
        <v>92</v>
      </c>
      <c r="C46" s="34" t="s">
        <v>92</v>
      </c>
      <c r="D46" s="23"/>
      <c r="E46" s="44"/>
      <c r="F46" s="23">
        <f>IF(A46="",0,INDEX('Gas Actual'!P:P,MATCH(A46,'Gas Actual'!$A:$A,0)))</f>
        <v>0</v>
      </c>
      <c r="G46" s="25"/>
      <c r="H46" s="25">
        <f t="shared" si="2"/>
        <v>0</v>
      </c>
      <c r="I46" s="45">
        <f t="shared" si="3"/>
        <v>0</v>
      </c>
      <c r="J46" s="23">
        <f>IF(A46="",0,INDEX('Gas Actual'!S:S,MATCH(A46,'Gas Actual'!$A:$A,0)))</f>
        <v>0</v>
      </c>
      <c r="K46" s="25"/>
      <c r="L46" s="25">
        <f t="shared" si="4"/>
        <v>0</v>
      </c>
      <c r="M46" s="45">
        <f t="shared" si="5"/>
        <v>0</v>
      </c>
      <c r="N46" s="43">
        <f>IF(A46="",0,INDEX('Gas Actual'!M:M,MATCH(A46,'Gas Actual'!$A:$A,0)))</f>
        <v>0</v>
      </c>
      <c r="O46" s="43">
        <f>IF(A46="",0,INDEX('Gas Actual'!L:L,MATCH(A46,'Gas Actual'!$A:$A,0)))</f>
        <v>0</v>
      </c>
      <c r="P46" s="43">
        <f t="shared" si="6"/>
        <v>0</v>
      </c>
      <c r="Q46" s="45">
        <f t="shared" si="7"/>
        <v>0</v>
      </c>
      <c r="R46" s="3"/>
      <c r="S46" s="4"/>
      <c r="T46" s="3"/>
    </row>
    <row r="47" spans="1:20" s="2" customFormat="1" hidden="1" x14ac:dyDescent="0.4">
      <c r="A47" s="27"/>
      <c r="B47" s="27" t="s">
        <v>92</v>
      </c>
      <c r="C47" s="34" t="s">
        <v>92</v>
      </c>
      <c r="D47" s="23"/>
      <c r="E47" s="44"/>
      <c r="F47" s="23">
        <f>IF(A47="",0,INDEX('Gas Actual'!P:P,MATCH(A47,'Gas Actual'!$A:$A,0)))</f>
        <v>0</v>
      </c>
      <c r="G47" s="25"/>
      <c r="H47" s="25">
        <f t="shared" si="2"/>
        <v>0</v>
      </c>
      <c r="I47" s="45">
        <f t="shared" si="3"/>
        <v>0</v>
      </c>
      <c r="J47" s="23">
        <f>IF(A47="",0,INDEX('Gas Actual'!S:S,MATCH(A47,'Gas Actual'!$A:$A,0)))</f>
        <v>0</v>
      </c>
      <c r="K47" s="25"/>
      <c r="L47" s="25">
        <f t="shared" si="4"/>
        <v>0</v>
      </c>
      <c r="M47" s="45">
        <f t="shared" si="5"/>
        <v>0</v>
      </c>
      <c r="N47" s="43">
        <f>IF(A47="",0,INDEX('Gas Actual'!M:M,MATCH(A47,'Gas Actual'!$A:$A,0)))</f>
        <v>0</v>
      </c>
      <c r="O47" s="43">
        <f>IF(A47="",0,INDEX('Gas Actual'!L:L,MATCH(A47,'Gas Actual'!$A:$A,0)))</f>
        <v>0</v>
      </c>
      <c r="P47" s="43">
        <f t="shared" si="6"/>
        <v>0</v>
      </c>
      <c r="Q47" s="45">
        <f t="shared" si="7"/>
        <v>0</v>
      </c>
      <c r="R47" s="3"/>
      <c r="S47" s="4"/>
      <c r="T47" s="3"/>
    </row>
    <row r="48" spans="1:20" s="2" customFormat="1" hidden="1" x14ac:dyDescent="0.4">
      <c r="A48" s="27"/>
      <c r="B48" s="27" t="s">
        <v>92</v>
      </c>
      <c r="C48" s="34" t="s">
        <v>92</v>
      </c>
      <c r="D48" s="23"/>
      <c r="E48" s="44"/>
      <c r="F48" s="23">
        <f>IF(A48="",0,INDEX('Gas Actual'!P:P,MATCH(A48,'Gas Actual'!$A:$A,0)))</f>
        <v>0</v>
      </c>
      <c r="G48" s="25"/>
      <c r="H48" s="25">
        <f t="shared" si="2"/>
        <v>0</v>
      </c>
      <c r="I48" s="45">
        <f t="shared" si="3"/>
        <v>0</v>
      </c>
      <c r="J48" s="23">
        <f>IF(A48="",0,INDEX('Gas Actual'!S:S,MATCH(A48,'Gas Actual'!$A:$A,0)))</f>
        <v>0</v>
      </c>
      <c r="K48" s="25"/>
      <c r="L48" s="25">
        <f t="shared" si="4"/>
        <v>0</v>
      </c>
      <c r="M48" s="45">
        <f t="shared" si="5"/>
        <v>0</v>
      </c>
      <c r="N48" s="43">
        <f>IF(A48="",0,INDEX('Gas Actual'!M:M,MATCH(A48,'Gas Actual'!$A:$A,0)))</f>
        <v>0</v>
      </c>
      <c r="O48" s="43">
        <f>IF(A48="",0,INDEX('Gas Actual'!L:L,MATCH(A48,'Gas Actual'!$A:$A,0)))</f>
        <v>0</v>
      </c>
      <c r="P48" s="43">
        <f t="shared" si="6"/>
        <v>0</v>
      </c>
      <c r="Q48" s="45">
        <f t="shared" si="7"/>
        <v>0</v>
      </c>
      <c r="R48" s="3"/>
      <c r="S48" s="4"/>
      <c r="T48" s="3"/>
    </row>
    <row r="49" spans="1:20" s="2" customFormat="1" hidden="1" x14ac:dyDescent="0.4">
      <c r="A49" s="27"/>
      <c r="B49" s="27" t="s">
        <v>92</v>
      </c>
      <c r="C49" s="34" t="s">
        <v>92</v>
      </c>
      <c r="D49" s="23"/>
      <c r="E49" s="44"/>
      <c r="F49" s="23">
        <f>IF(A49="",0,INDEX('Gas Actual'!P:P,MATCH(A49,'Gas Actual'!$A:$A,0)))</f>
        <v>0</v>
      </c>
      <c r="G49" s="25"/>
      <c r="H49" s="25">
        <f t="shared" si="2"/>
        <v>0</v>
      </c>
      <c r="I49" s="45">
        <f t="shared" si="3"/>
        <v>0</v>
      </c>
      <c r="J49" s="23">
        <f>IF(A49="",0,INDEX('Gas Actual'!S:S,MATCH(A49,'Gas Actual'!$A:$A,0)))</f>
        <v>0</v>
      </c>
      <c r="K49" s="25"/>
      <c r="L49" s="25">
        <f t="shared" si="4"/>
        <v>0</v>
      </c>
      <c r="M49" s="45">
        <f t="shared" si="5"/>
        <v>0</v>
      </c>
      <c r="N49" s="43">
        <f>IF(A49="",0,INDEX('Gas Actual'!M:M,MATCH(A49,'Gas Actual'!$A:$A,0)))</f>
        <v>0</v>
      </c>
      <c r="O49" s="43">
        <f>IF(A49="",0,INDEX('Gas Actual'!L:L,MATCH(A49,'Gas Actual'!$A:$A,0)))</f>
        <v>0</v>
      </c>
      <c r="P49" s="43">
        <f t="shared" si="6"/>
        <v>0</v>
      </c>
      <c r="Q49" s="45">
        <f t="shared" si="7"/>
        <v>0</v>
      </c>
      <c r="R49" s="3"/>
      <c r="S49" s="4"/>
      <c r="T49" s="3"/>
    </row>
    <row r="50" spans="1:20" s="2" customFormat="1" hidden="1" x14ac:dyDescent="0.4">
      <c r="A50" s="27"/>
      <c r="B50" s="27" t="s">
        <v>92</v>
      </c>
      <c r="C50" s="34" t="s">
        <v>92</v>
      </c>
      <c r="D50" s="23"/>
      <c r="E50" s="44"/>
      <c r="F50" s="23">
        <f>IF(A50="",0,INDEX('Gas Actual'!P:P,MATCH(A50,'Gas Actual'!$A:$A,0)))</f>
        <v>0</v>
      </c>
      <c r="G50" s="25"/>
      <c r="H50" s="25">
        <f t="shared" si="2"/>
        <v>0</v>
      </c>
      <c r="I50" s="45">
        <f t="shared" si="3"/>
        <v>0</v>
      </c>
      <c r="J50" s="23">
        <f>IF(A50="",0,INDEX('Gas Actual'!S:S,MATCH(A50,'Gas Actual'!$A:$A,0)))</f>
        <v>0</v>
      </c>
      <c r="K50" s="25"/>
      <c r="L50" s="25">
        <f t="shared" si="4"/>
        <v>0</v>
      </c>
      <c r="M50" s="45">
        <f t="shared" si="5"/>
        <v>0</v>
      </c>
      <c r="N50" s="43">
        <f>IF(A50="",0,INDEX('Gas Actual'!M:M,MATCH(A50,'Gas Actual'!$A:$A,0)))</f>
        <v>0</v>
      </c>
      <c r="O50" s="43">
        <f>IF(A50="",0,INDEX('Gas Actual'!L:L,MATCH(A50,'Gas Actual'!$A:$A,0)))</f>
        <v>0</v>
      </c>
      <c r="P50" s="43">
        <f t="shared" si="6"/>
        <v>0</v>
      </c>
      <c r="Q50" s="45">
        <f t="shared" si="7"/>
        <v>0</v>
      </c>
      <c r="R50" s="3"/>
      <c r="S50" s="4"/>
      <c r="T50" s="3"/>
    </row>
    <row r="51" spans="1:20" s="2" customFormat="1" hidden="1" x14ac:dyDescent="0.4">
      <c r="A51" s="27"/>
      <c r="B51" s="27" t="s">
        <v>92</v>
      </c>
      <c r="C51" s="34" t="s">
        <v>92</v>
      </c>
      <c r="D51" s="23"/>
      <c r="E51" s="44"/>
      <c r="F51" s="23">
        <f>IF(A51="",0,INDEX('Gas Actual'!P:P,MATCH(A51,'Gas Actual'!$A:$A,0)))</f>
        <v>0</v>
      </c>
      <c r="G51" s="25"/>
      <c r="H51" s="25">
        <f t="shared" si="2"/>
        <v>0</v>
      </c>
      <c r="I51" s="45">
        <f t="shared" si="3"/>
        <v>0</v>
      </c>
      <c r="J51" s="23">
        <f>IF(A51="",0,INDEX('Gas Actual'!S:S,MATCH(A51,'Gas Actual'!$A:$A,0)))</f>
        <v>0</v>
      </c>
      <c r="K51" s="25"/>
      <c r="L51" s="25">
        <f t="shared" si="4"/>
        <v>0</v>
      </c>
      <c r="M51" s="45">
        <f t="shared" si="5"/>
        <v>0</v>
      </c>
      <c r="N51" s="43">
        <f>IF(A51="",0,INDEX('Gas Actual'!M:M,MATCH(A51,'Gas Actual'!$A:$A,0)))</f>
        <v>0</v>
      </c>
      <c r="O51" s="43">
        <f>IF(A51="",0,INDEX('Gas Actual'!L:L,MATCH(A51,'Gas Actual'!$A:$A,0)))</f>
        <v>0</v>
      </c>
      <c r="P51" s="43">
        <f t="shared" si="6"/>
        <v>0</v>
      </c>
      <c r="Q51" s="45">
        <f t="shared" si="7"/>
        <v>0</v>
      </c>
      <c r="R51" s="3"/>
      <c r="S51" s="4"/>
      <c r="T51" s="3"/>
    </row>
    <row r="52" spans="1:20" s="2" customFormat="1" hidden="1" x14ac:dyDescent="0.4">
      <c r="A52" s="27"/>
      <c r="B52" s="27" t="s">
        <v>92</v>
      </c>
      <c r="C52" s="34" t="s">
        <v>92</v>
      </c>
      <c r="D52" s="23"/>
      <c r="E52" s="44"/>
      <c r="F52" s="23">
        <f>IF(A52="",0,INDEX('Gas Actual'!P:P,MATCH(A52,'Gas Actual'!$A:$A,0)))</f>
        <v>0</v>
      </c>
      <c r="G52" s="25"/>
      <c r="H52" s="25">
        <f t="shared" si="2"/>
        <v>0</v>
      </c>
      <c r="I52" s="45">
        <f t="shared" si="3"/>
        <v>0</v>
      </c>
      <c r="J52" s="23">
        <f>IF(A52="",0,INDEX('Gas Actual'!S:S,MATCH(A52,'Gas Actual'!$A:$A,0)))</f>
        <v>0</v>
      </c>
      <c r="K52" s="25"/>
      <c r="L52" s="25">
        <f t="shared" si="4"/>
        <v>0</v>
      </c>
      <c r="M52" s="45">
        <f t="shared" si="5"/>
        <v>0</v>
      </c>
      <c r="N52" s="43">
        <f>IF(A52="",0,INDEX('Gas Actual'!M:M,MATCH(A52,'Gas Actual'!$A:$A,0)))</f>
        <v>0</v>
      </c>
      <c r="O52" s="43">
        <f>IF(A52="",0,INDEX('Gas Actual'!L:L,MATCH(A52,'Gas Actual'!$A:$A,0)))</f>
        <v>0</v>
      </c>
      <c r="P52" s="43">
        <f t="shared" si="6"/>
        <v>0</v>
      </c>
      <c r="Q52" s="45">
        <f t="shared" si="7"/>
        <v>0</v>
      </c>
      <c r="R52" s="3"/>
      <c r="S52" s="4"/>
      <c r="T52" s="3"/>
    </row>
    <row r="53" spans="1:20" s="2" customFormat="1" hidden="1" x14ac:dyDescent="0.4">
      <c r="A53" s="27"/>
      <c r="B53" s="27" t="s">
        <v>92</v>
      </c>
      <c r="C53" s="34" t="s">
        <v>92</v>
      </c>
      <c r="D53" s="23"/>
      <c r="E53" s="44"/>
      <c r="F53" s="23">
        <f>IF(A53="",0,INDEX('Gas Actual'!P:P,MATCH(A53,'Gas Actual'!$A:$A,0)))</f>
        <v>0</v>
      </c>
      <c r="G53" s="25"/>
      <c r="H53" s="25">
        <f t="shared" si="2"/>
        <v>0</v>
      </c>
      <c r="I53" s="45">
        <f t="shared" si="3"/>
        <v>0</v>
      </c>
      <c r="J53" s="23">
        <f>IF(A53="",0,INDEX('Gas Actual'!S:S,MATCH(A53,'Gas Actual'!$A:$A,0)))</f>
        <v>0</v>
      </c>
      <c r="K53" s="25"/>
      <c r="L53" s="25">
        <f t="shared" si="4"/>
        <v>0</v>
      </c>
      <c r="M53" s="45">
        <f t="shared" si="5"/>
        <v>0</v>
      </c>
      <c r="N53" s="43">
        <f>IF(A53="",0,INDEX('Gas Actual'!M:M,MATCH(A53,'Gas Actual'!$A:$A,0)))</f>
        <v>0</v>
      </c>
      <c r="O53" s="43">
        <f>IF(A53="",0,INDEX('Gas Actual'!L:L,MATCH(A53,'Gas Actual'!$A:$A,0)))</f>
        <v>0</v>
      </c>
      <c r="P53" s="43">
        <f t="shared" si="6"/>
        <v>0</v>
      </c>
      <c r="Q53" s="45">
        <f t="shared" si="7"/>
        <v>0</v>
      </c>
      <c r="R53" s="3"/>
      <c r="S53" s="4"/>
      <c r="T53" s="3"/>
    </row>
    <row r="54" spans="1:20" s="2" customFormat="1" hidden="1" x14ac:dyDescent="0.4">
      <c r="A54" s="27"/>
      <c r="B54" s="27" t="s">
        <v>92</v>
      </c>
      <c r="C54" s="34" t="s">
        <v>92</v>
      </c>
      <c r="D54" s="23"/>
      <c r="E54" s="44"/>
      <c r="F54" s="23">
        <f>IF(A54="",0,INDEX('Gas Actual'!P:P,MATCH(A54,'Gas Actual'!$A:$A,0)))</f>
        <v>0</v>
      </c>
      <c r="G54" s="25"/>
      <c r="H54" s="25">
        <f t="shared" si="2"/>
        <v>0</v>
      </c>
      <c r="I54" s="45">
        <f t="shared" si="3"/>
        <v>0</v>
      </c>
      <c r="J54" s="23">
        <f>IF(A54="",0,INDEX('Gas Actual'!S:S,MATCH(A54,'Gas Actual'!$A:$A,0)))</f>
        <v>0</v>
      </c>
      <c r="K54" s="25"/>
      <c r="L54" s="25">
        <f t="shared" si="4"/>
        <v>0</v>
      </c>
      <c r="M54" s="45">
        <f t="shared" si="5"/>
        <v>0</v>
      </c>
      <c r="N54" s="43">
        <f>IF(A54="",0,INDEX('Gas Actual'!M:M,MATCH(A54,'Gas Actual'!$A:$A,0)))</f>
        <v>0</v>
      </c>
      <c r="O54" s="43">
        <f>IF(A54="",0,INDEX('Gas Actual'!L:L,MATCH(A54,'Gas Actual'!$A:$A,0)))</f>
        <v>0</v>
      </c>
      <c r="P54" s="43">
        <f t="shared" si="6"/>
        <v>0</v>
      </c>
      <c r="Q54" s="45">
        <f t="shared" si="7"/>
        <v>0</v>
      </c>
      <c r="R54" s="3"/>
      <c r="S54" s="4"/>
      <c r="T54" s="3"/>
    </row>
    <row r="55" spans="1:20" s="2" customFormat="1" hidden="1" x14ac:dyDescent="0.4">
      <c r="A55" s="27"/>
      <c r="B55" s="27" t="s">
        <v>92</v>
      </c>
      <c r="C55" s="34" t="s">
        <v>92</v>
      </c>
      <c r="D55" s="23"/>
      <c r="E55" s="44"/>
      <c r="F55" s="23">
        <f>IF(A55="",0,INDEX('Gas Actual'!P:P,MATCH(A55,'Gas Actual'!$A:$A,0)))</f>
        <v>0</v>
      </c>
      <c r="G55" s="25"/>
      <c r="H55" s="25">
        <f t="shared" si="2"/>
        <v>0</v>
      </c>
      <c r="I55" s="45">
        <f t="shared" si="3"/>
        <v>0</v>
      </c>
      <c r="J55" s="23">
        <f>IF(A55="",0,INDEX('Gas Actual'!S:S,MATCH(A55,'Gas Actual'!$A:$A,0)))</f>
        <v>0</v>
      </c>
      <c r="K55" s="25"/>
      <c r="L55" s="25">
        <f t="shared" si="4"/>
        <v>0</v>
      </c>
      <c r="M55" s="45">
        <f t="shared" si="5"/>
        <v>0</v>
      </c>
      <c r="N55" s="43">
        <f>IF(A55="",0,INDEX('Gas Actual'!M:M,MATCH(A55,'Gas Actual'!$A:$A,0)))</f>
        <v>0</v>
      </c>
      <c r="O55" s="43">
        <f>IF(A55="",0,INDEX('Gas Actual'!L:L,MATCH(A55,'Gas Actual'!$A:$A,0)))</f>
        <v>0</v>
      </c>
      <c r="P55" s="43">
        <f t="shared" si="6"/>
        <v>0</v>
      </c>
      <c r="Q55" s="45">
        <f t="shared" si="7"/>
        <v>0</v>
      </c>
      <c r="R55" s="3"/>
      <c r="S55" s="4"/>
      <c r="T55" s="3"/>
    </row>
    <row r="56" spans="1:20" s="2" customFormat="1" hidden="1" x14ac:dyDescent="0.4">
      <c r="A56" s="27"/>
      <c r="B56" s="27" t="s">
        <v>92</v>
      </c>
      <c r="C56" s="34" t="s">
        <v>92</v>
      </c>
      <c r="D56" s="23"/>
      <c r="E56" s="44"/>
      <c r="F56" s="23">
        <f>IF(A56="",0,INDEX('Gas Actual'!P:P,MATCH(A56,'Gas Actual'!$A:$A,0)))</f>
        <v>0</v>
      </c>
      <c r="G56" s="25"/>
      <c r="H56" s="25">
        <f t="shared" si="2"/>
        <v>0</v>
      </c>
      <c r="I56" s="45">
        <f t="shared" si="3"/>
        <v>0</v>
      </c>
      <c r="J56" s="23">
        <f>IF(A56="",0,INDEX('Gas Actual'!S:S,MATCH(A56,'Gas Actual'!$A:$A,0)))</f>
        <v>0</v>
      </c>
      <c r="K56" s="25"/>
      <c r="L56" s="25">
        <f t="shared" si="4"/>
        <v>0</v>
      </c>
      <c r="M56" s="45">
        <f t="shared" si="5"/>
        <v>0</v>
      </c>
      <c r="N56" s="43">
        <f>IF(A56="",0,INDEX('Gas Actual'!M:M,MATCH(A56,'Gas Actual'!$A:$A,0)))</f>
        <v>0</v>
      </c>
      <c r="O56" s="43">
        <f>IF(A56="",0,INDEX('Gas Actual'!L:L,MATCH(A56,'Gas Actual'!$A:$A,0)))</f>
        <v>0</v>
      </c>
      <c r="P56" s="43">
        <f t="shared" si="6"/>
        <v>0</v>
      </c>
      <c r="Q56" s="45">
        <f t="shared" si="7"/>
        <v>0</v>
      </c>
      <c r="R56" s="3"/>
      <c r="S56" s="4"/>
      <c r="T56" s="3"/>
    </row>
    <row r="57" spans="1:20" s="2" customFormat="1" hidden="1" x14ac:dyDescent="0.4">
      <c r="A57" s="27"/>
      <c r="B57" s="27" t="s">
        <v>92</v>
      </c>
      <c r="C57" s="34" t="s">
        <v>92</v>
      </c>
      <c r="D57" s="23"/>
      <c r="E57" s="44"/>
      <c r="F57" s="23">
        <f>IF(A57="",0,INDEX('Gas Actual'!P:P,MATCH(A57,'Gas Actual'!$A:$A,0)))</f>
        <v>0</v>
      </c>
      <c r="G57" s="25"/>
      <c r="H57" s="25">
        <f t="shared" si="2"/>
        <v>0</v>
      </c>
      <c r="I57" s="45">
        <f t="shared" si="3"/>
        <v>0</v>
      </c>
      <c r="J57" s="23">
        <f>IF(A57="",0,INDEX('Gas Actual'!S:S,MATCH(A57,'Gas Actual'!$A:$A,0)))</f>
        <v>0</v>
      </c>
      <c r="K57" s="25"/>
      <c r="L57" s="25">
        <f t="shared" si="4"/>
        <v>0</v>
      </c>
      <c r="M57" s="45">
        <f t="shared" si="5"/>
        <v>0</v>
      </c>
      <c r="N57" s="43">
        <f>IF(A57="",0,INDEX('Gas Actual'!M:M,MATCH(A57,'Gas Actual'!$A:$A,0)))</f>
        <v>0</v>
      </c>
      <c r="O57" s="43">
        <f>IF(A57="",0,INDEX('Gas Actual'!L:L,MATCH(A57,'Gas Actual'!$A:$A,0)))</f>
        <v>0</v>
      </c>
      <c r="P57" s="43">
        <f t="shared" si="6"/>
        <v>0</v>
      </c>
      <c r="Q57" s="45">
        <f t="shared" si="7"/>
        <v>0</v>
      </c>
      <c r="R57" s="3"/>
      <c r="S57" s="4"/>
      <c r="T57" s="3"/>
    </row>
    <row r="58" spans="1:20" s="2" customFormat="1" hidden="1" x14ac:dyDescent="0.4">
      <c r="A58" s="27"/>
      <c r="B58" s="27" t="s">
        <v>92</v>
      </c>
      <c r="C58" s="34" t="s">
        <v>92</v>
      </c>
      <c r="D58" s="23"/>
      <c r="E58" s="44"/>
      <c r="F58" s="23">
        <f>IF(A58="",0,INDEX('Gas Actual'!P:P,MATCH(A58,'Gas Actual'!$A:$A,0)))</f>
        <v>0</v>
      </c>
      <c r="G58" s="25"/>
      <c r="H58" s="25">
        <f t="shared" si="2"/>
        <v>0</v>
      </c>
      <c r="I58" s="45">
        <f t="shared" si="3"/>
        <v>0</v>
      </c>
      <c r="J58" s="23">
        <f>IF(A58="",0,INDEX('Gas Actual'!S:S,MATCH(A58,'Gas Actual'!$A:$A,0)))</f>
        <v>0</v>
      </c>
      <c r="K58" s="25"/>
      <c r="L58" s="25">
        <f t="shared" si="4"/>
        <v>0</v>
      </c>
      <c r="M58" s="45">
        <f t="shared" si="5"/>
        <v>0</v>
      </c>
      <c r="N58" s="43">
        <f>IF(A58="",0,INDEX('Gas Actual'!M:M,MATCH(A58,'Gas Actual'!$A:$A,0)))</f>
        <v>0</v>
      </c>
      <c r="O58" s="43">
        <f>IF(A58="",0,INDEX('Gas Actual'!L:L,MATCH(A58,'Gas Actual'!$A:$A,0)))</f>
        <v>0</v>
      </c>
      <c r="P58" s="43">
        <f t="shared" si="6"/>
        <v>0</v>
      </c>
      <c r="Q58" s="45">
        <f t="shared" si="7"/>
        <v>0</v>
      </c>
      <c r="R58" s="3"/>
      <c r="S58" s="4"/>
      <c r="T58" s="3"/>
    </row>
    <row r="59" spans="1:20" s="2" customFormat="1" hidden="1" x14ac:dyDescent="0.4">
      <c r="A59" s="27"/>
      <c r="B59" s="27" t="s">
        <v>92</v>
      </c>
      <c r="C59" s="47" t="s">
        <v>92</v>
      </c>
      <c r="D59" s="24"/>
      <c r="E59" s="48"/>
      <c r="F59" s="24">
        <f>IF(A59="",0,INDEX('Gas Actual'!P:P,MATCH(A59,'Gas Actual'!$A:$A,0)))</f>
        <v>0</v>
      </c>
      <c r="G59" s="26"/>
      <c r="H59" s="26">
        <f t="shared" si="2"/>
        <v>0</v>
      </c>
      <c r="I59" s="49">
        <f t="shared" si="3"/>
        <v>0</v>
      </c>
      <c r="J59" s="24">
        <f>IF(A59="",0,INDEX('Gas Actual'!S:S,MATCH(A59,'Gas Actual'!$A:$A,0)))</f>
        <v>0</v>
      </c>
      <c r="K59" s="26"/>
      <c r="L59" s="26">
        <f t="shared" si="4"/>
        <v>0</v>
      </c>
      <c r="M59" s="49">
        <f t="shared" si="5"/>
        <v>0</v>
      </c>
      <c r="N59" s="50">
        <f>IF(A59="",0,INDEX('Gas Actual'!M:M,MATCH(A59,'Gas Actual'!$A:$A,0)))</f>
        <v>0</v>
      </c>
      <c r="O59" s="50">
        <f>IF(A59="",0,INDEX('Gas Actual'!L:L,MATCH(A59,'Gas Actual'!$A:$A,0)))</f>
        <v>0</v>
      </c>
      <c r="P59" s="50">
        <f t="shared" si="6"/>
        <v>0</v>
      </c>
      <c r="Q59" s="49">
        <f t="shared" si="7"/>
        <v>0</v>
      </c>
      <c r="R59" s="3"/>
      <c r="S59" s="4"/>
      <c r="T59" s="3"/>
    </row>
    <row r="60" spans="1:20" s="2" customFormat="1" x14ac:dyDescent="0.4">
      <c r="B60" s="2" t="s">
        <v>92</v>
      </c>
      <c r="C60" s="28" t="s">
        <v>92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"/>
      <c r="S60" s="4"/>
      <c r="T60" s="3"/>
    </row>
    <row r="61" spans="1:20" x14ac:dyDescent="0.4">
      <c r="C61" s="9" t="s">
        <v>9</v>
      </c>
      <c r="D61" s="51">
        <f>SUM(D10:D59)</f>
        <v>75642</v>
      </c>
      <c r="E61" s="52"/>
      <c r="F61" s="53">
        <f t="shared" ref="F61:P61" si="8">SUM(F10:F59)</f>
        <v>1681847.5880000002</v>
      </c>
      <c r="G61" s="53">
        <f t="shared" si="8"/>
        <v>1472793.3507273314</v>
      </c>
      <c r="H61" s="53">
        <f t="shared" si="8"/>
        <v>-209054.23727266895</v>
      </c>
      <c r="I61" s="54">
        <f>IF(F61&gt;0,H61/F61,0)</f>
        <v>-0.12430034609810846</v>
      </c>
      <c r="J61" s="53">
        <f t="shared" si="8"/>
        <v>21464.837443864657</v>
      </c>
      <c r="K61" s="53">
        <f t="shared" si="8"/>
        <v>20894.349871421291</v>
      </c>
      <c r="L61" s="53">
        <f t="shared" si="8"/>
        <v>-570.48757244336593</v>
      </c>
      <c r="M61" s="54">
        <f>IF(J61&gt;0,L61/J61,0)</f>
        <v>-2.6577772784691166E-2</v>
      </c>
      <c r="N61" s="55">
        <f t="shared" si="8"/>
        <v>6764986.4086363232</v>
      </c>
      <c r="O61" s="55">
        <f t="shared" si="8"/>
        <v>4988771.03</v>
      </c>
      <c r="P61" s="55">
        <f t="shared" si="8"/>
        <v>-1776215.3786363229</v>
      </c>
      <c r="Q61" s="54">
        <f>IF(N61&gt;0,P61/N61,0)</f>
        <v>-0.26256008088482913</v>
      </c>
      <c r="R61" s="6"/>
    </row>
    <row r="63" spans="1:20" x14ac:dyDescent="0.4">
      <c r="C63" s="57"/>
      <c r="D63" s="30"/>
      <c r="E63" s="31"/>
      <c r="F63" s="33" t="s">
        <v>2</v>
      </c>
      <c r="G63" s="33" t="s">
        <v>3</v>
      </c>
      <c r="H63" s="33"/>
      <c r="I63" s="88"/>
      <c r="J63" s="33" t="s">
        <v>2</v>
      </c>
      <c r="K63" s="33" t="s">
        <v>3</v>
      </c>
      <c r="L63" s="33"/>
      <c r="M63" s="88"/>
      <c r="N63" s="32"/>
      <c r="O63" s="32"/>
      <c r="P63" s="32"/>
      <c r="Q63" s="31"/>
    </row>
    <row r="64" spans="1:20" x14ac:dyDescent="0.4">
      <c r="C64" s="58"/>
      <c r="D64" s="34"/>
      <c r="E64" s="35"/>
      <c r="F64" s="36" t="s">
        <v>61</v>
      </c>
      <c r="G64" s="36" t="s">
        <v>61</v>
      </c>
      <c r="H64" s="36"/>
      <c r="I64" s="37" t="s">
        <v>6</v>
      </c>
      <c r="J64" s="36" t="s">
        <v>62</v>
      </c>
      <c r="K64" s="36" t="s">
        <v>62</v>
      </c>
      <c r="L64" s="36"/>
      <c r="M64" s="37" t="s">
        <v>6</v>
      </c>
      <c r="N64" s="36" t="s">
        <v>2</v>
      </c>
      <c r="O64" s="36" t="s">
        <v>3</v>
      </c>
      <c r="P64" s="36"/>
      <c r="Q64" s="37" t="s">
        <v>6</v>
      </c>
      <c r="R64" s="7"/>
    </row>
    <row r="65" spans="3:18" x14ac:dyDescent="0.4">
      <c r="C65" s="60" t="s">
        <v>12</v>
      </c>
      <c r="D65" s="246" t="s">
        <v>10</v>
      </c>
      <c r="E65" s="247"/>
      <c r="F65" s="86" t="s">
        <v>60</v>
      </c>
      <c r="G65" s="86" t="s">
        <v>60</v>
      </c>
      <c r="H65" s="38" t="s">
        <v>4</v>
      </c>
      <c r="I65" s="61" t="s">
        <v>7</v>
      </c>
      <c r="J65" s="86" t="s">
        <v>60</v>
      </c>
      <c r="K65" s="86" t="s">
        <v>60</v>
      </c>
      <c r="L65" s="38" t="s">
        <v>4</v>
      </c>
      <c r="M65" s="61" t="s">
        <v>7</v>
      </c>
      <c r="N65" s="38" t="s">
        <v>8</v>
      </c>
      <c r="O65" s="38" t="s">
        <v>8</v>
      </c>
      <c r="P65" s="38" t="s">
        <v>4</v>
      </c>
      <c r="Q65" s="61" t="s">
        <v>7</v>
      </c>
      <c r="R65" s="8"/>
    </row>
    <row r="66" spans="3:18" x14ac:dyDescent="0.4">
      <c r="C66" s="57" t="s">
        <v>13</v>
      </c>
      <c r="D66" s="23">
        <f>SUMIF($B$10:$B$59,"Res",D10:D59)</f>
        <v>45127</v>
      </c>
      <c r="E66" s="44"/>
      <c r="F66" s="63">
        <f t="shared" ref="F66:H66" si="9">SUMIF($B$10:$B$59,"Res",F10:F59)</f>
        <v>1034063.0080000001</v>
      </c>
      <c r="G66" s="64">
        <f t="shared" si="9"/>
        <v>1300818.2181273315</v>
      </c>
      <c r="H66" s="64">
        <f t="shared" si="9"/>
        <v>266755.21012733114</v>
      </c>
      <c r="I66" s="45">
        <f>IF(F66&gt;0,H66/F66,0)</f>
        <v>0.25796804262756406</v>
      </c>
      <c r="J66" s="63">
        <f t="shared" ref="J66:L66" si="10">SUMIF($B$10:$B$59,"Res",J10:J59)</f>
        <v>13197.50011167039</v>
      </c>
      <c r="K66" s="64">
        <f t="shared" si="10"/>
        <v>18788.304171421292</v>
      </c>
      <c r="L66" s="64">
        <f t="shared" si="10"/>
        <v>5590.8040597508998</v>
      </c>
      <c r="M66" s="45">
        <f>IF(J66&gt;0,L66/J66,0)</f>
        <v>0.42362599071372764</v>
      </c>
      <c r="N66" s="42">
        <f t="shared" ref="N66:P66" si="11">SUMIF($B$10:$B$59,"Res",N10:N59)</f>
        <v>4121814.0797070172</v>
      </c>
      <c r="O66" s="42">
        <f t="shared" si="11"/>
        <v>4020704.9040244049</v>
      </c>
      <c r="P66" s="42">
        <f t="shared" si="11"/>
        <v>-101109.17568261205</v>
      </c>
      <c r="Q66" s="45">
        <f>IF(N66&gt;0,P66/N66,0)</f>
        <v>-2.4530261124683966E-2</v>
      </c>
    </row>
    <row r="67" spans="3:18" x14ac:dyDescent="0.4">
      <c r="C67" s="58" t="s">
        <v>14</v>
      </c>
      <c r="D67" s="23">
        <f>SUMIF($B$10:$B$59,"NonRes",D10:D59)</f>
        <v>30503</v>
      </c>
      <c r="E67" s="44"/>
      <c r="F67" s="65">
        <f>SUMIF($B$10:$B$59,"NonRes",F10:F59)</f>
        <v>647784.58000000007</v>
      </c>
      <c r="G67" s="93">
        <f>SUMIF($B$10:$B$59,"NonRes",G10:G59)</f>
        <v>171975.13260000001</v>
      </c>
      <c r="H67" s="93">
        <f>SUMIF($B$10:$B$59,"NonRes",H10:H59)</f>
        <v>-475809.44740000012</v>
      </c>
      <c r="I67" s="45">
        <f>IF(F67&gt;0,H67/F67,0)</f>
        <v>-0.73451802048143855</v>
      </c>
      <c r="J67" s="65">
        <f>SUMIF($B$10:$B$59,"NonRes",J10:J59)</f>
        <v>8267.3373321942654</v>
      </c>
      <c r="K67" s="93">
        <f>SUMIF($B$10:$B$59,"NonRes",K10:K59)</f>
        <v>2106.0457000000001</v>
      </c>
      <c r="L67" s="93">
        <f>SUMIF($B$10:$B$59,"NonRes",L10:L59)</f>
        <v>-6161.2916321942657</v>
      </c>
      <c r="M67" s="45">
        <f>IF(J67&gt;0,L67/J67,0)</f>
        <v>-0.74525707427000243</v>
      </c>
      <c r="N67" s="94">
        <f>SUMIF($B$10:$B$59,"NonRes",N10:N59)</f>
        <v>2098172.3289293055</v>
      </c>
      <c r="O67" s="43">
        <f>SUMIF($B$10:$B$59,"NonRes",O10:O59)</f>
        <v>525453.6059755946</v>
      </c>
      <c r="P67" s="43">
        <f>SUMIF($B$10:$B$59,"NonRes",P10:P59)</f>
        <v>-1572718.7229537109</v>
      </c>
      <c r="Q67" s="45">
        <f>IF(N67&gt;0,P67/N67,0)</f>
        <v>-0.74956603958087042</v>
      </c>
    </row>
    <row r="68" spans="3:18" x14ac:dyDescent="0.4">
      <c r="C68" s="58" t="s">
        <v>72</v>
      </c>
      <c r="D68" s="23">
        <f>SUMIF($B$10:$B$59,"Other",D10:D59)</f>
        <v>12</v>
      </c>
      <c r="E68" s="44"/>
      <c r="F68" s="65">
        <f>SUMIF($B$10:$B$59,"Other",F10:F59)</f>
        <v>0</v>
      </c>
      <c r="G68" s="66">
        <f>SUMIF($B$10:$B$59,"Other",G10:G59)</f>
        <v>0</v>
      </c>
      <c r="H68" s="66">
        <f>SUMIF($B$10:$B$59,"Other",H10:H59)</f>
        <v>0</v>
      </c>
      <c r="I68" s="45">
        <f>IF(F68&gt;0,H68/F68,0)</f>
        <v>0</v>
      </c>
      <c r="J68" s="65">
        <f>SUMIF($B$10:$B$59,"Other",J10:J59)</f>
        <v>0</v>
      </c>
      <c r="K68" s="66">
        <f>SUMIF($B$10:$B$59,"Other",K10:K59)</f>
        <v>0</v>
      </c>
      <c r="L68" s="66">
        <f>SUMIF($B$10:$B$59,"Other",L10:L59)</f>
        <v>0</v>
      </c>
      <c r="M68" s="45">
        <f>IF(J68&gt;0,L68/J68,0)</f>
        <v>0</v>
      </c>
      <c r="N68" s="50">
        <f>SUMIF($B$10:$B$59,"Other",N10:N59)</f>
        <v>545000</v>
      </c>
      <c r="O68" s="50">
        <f>SUMIF($B$10:$B$59,"Other",O10:O59)</f>
        <v>442612.52</v>
      </c>
      <c r="P68" s="50">
        <f>SUMIF($B$10:$B$59,"Other",P10:P59)</f>
        <v>-102387.47999999998</v>
      </c>
      <c r="Q68" s="45">
        <f>IF(N68&gt;0,P68/N68,0)</f>
        <v>-0.18786693577981647</v>
      </c>
    </row>
    <row r="69" spans="3:18" x14ac:dyDescent="0.4">
      <c r="C69" s="9" t="s">
        <v>9</v>
      </c>
      <c r="D69" s="51">
        <f>SUM(D66:D68)</f>
        <v>75642</v>
      </c>
      <c r="E69" s="52"/>
      <c r="F69" s="67">
        <f>SUM(F66:F68)</f>
        <v>1681847.5880000002</v>
      </c>
      <c r="G69" s="67">
        <f>SUM(G66:G68)</f>
        <v>1472793.3507273314</v>
      </c>
      <c r="H69" s="67">
        <f>SUM(H66:H68)</f>
        <v>-209054.23727266898</v>
      </c>
      <c r="I69" s="54">
        <f>IF(F69&gt;0,H69/F69,0)</f>
        <v>-0.12430034609810847</v>
      </c>
      <c r="J69" s="67">
        <f>SUM(J66:J68)</f>
        <v>21464.837443864657</v>
      </c>
      <c r="K69" s="67">
        <f>SUM(K66:K68)</f>
        <v>20894.349871421291</v>
      </c>
      <c r="L69" s="67">
        <f>SUM(L66:L68)</f>
        <v>-570.48757244336593</v>
      </c>
      <c r="M69" s="54">
        <f>IF(J69&gt;0,L69/J69,0)</f>
        <v>-2.6577772784691166E-2</v>
      </c>
      <c r="N69" s="55">
        <f>SUM(N66:N68)</f>
        <v>6764986.4086363222</v>
      </c>
      <c r="O69" s="55">
        <f>SUM(O66:O68)</f>
        <v>4988771.0299999993</v>
      </c>
      <c r="P69" s="55">
        <f>SUM(P66:P68)</f>
        <v>-1776215.3786363229</v>
      </c>
      <c r="Q69" s="54">
        <f>IF(N69&gt;0,P69/N69,0)</f>
        <v>-0.26256008088482918</v>
      </c>
    </row>
    <row r="70" spans="3:18" x14ac:dyDescent="0.4">
      <c r="D70" s="56"/>
      <c r="O70" s="59"/>
    </row>
    <row r="71" spans="3:18" x14ac:dyDescent="0.4">
      <c r="C71" s="6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3" spans="3:18" ht="12.75" customHeight="1" x14ac:dyDescent="0.75">
      <c r="D73" s="56"/>
      <c r="F73" s="69"/>
    </row>
  </sheetData>
  <mergeCells count="6">
    <mergeCell ref="D65:E65"/>
    <mergeCell ref="C2:Q2"/>
    <mergeCell ref="C3:Q3"/>
    <mergeCell ref="C4:Q4"/>
    <mergeCell ref="C5:Q5"/>
    <mergeCell ref="D9:E9"/>
  </mergeCells>
  <printOptions horizontalCentered="1" verticalCentered="1"/>
  <pageMargins left="0.25" right="0.25" top="0.75" bottom="0.75" header="0.3" footer="0.3"/>
  <pageSetup scale="71" orientation="landscape" r:id="rId1"/>
  <headerFooter>
    <oddHeader>&amp;R&amp;"-,Regular"&amp;11 2021 Exhibit B
Plan v Actual Variances by Program
EEP-2018-0002</oddHeader>
    <oddFooter><![CDATA[&C&"-,Regular"&11Page &P of &N&R&"-,Regular"&11&F]]>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2269-D9AB-4D1D-9815-316D91EE00D7}">
  <sheetPr codeName="Sheet4">
    <pageSetUpPr fitToPage="1"/>
  </sheetPr>
  <dimension ref="A2:U73"/>
  <sheetViews>
    <sheetView view="pageLayout" topLeftCell="D1" zoomScale="80" zoomScaleNormal="90" zoomScalePageLayoutView="80" workbookViewId="0">
      <selection activeCell="C2" sqref="C2:Q2"/>
    </sheetView>
  </sheetViews>
  <sheetFormatPr defaultColWidth="9.1328125" defaultRowHeight="13.15" outlineLevelCol="1" x14ac:dyDescent="0.4"/>
  <cols>
    <col min="1" max="1" customWidth="true" hidden="true" style="1" width="20.86328125" outlineLevel="1" collapsed="false"/>
    <col min="2" max="2" customWidth="true" hidden="true" style="1" width="9.1328125" outlineLevel="1" collapsed="false"/>
    <col min="3" max="3" customWidth="true" hidden="true" style="1" width="16.265625" outlineLevel="1" collapsed="false"/>
    <col min="4" max="4" customWidth="true" style="29" width="38.73046875" collapsed="true"/>
    <col min="5" max="5" customWidth="true" style="29" width="10.0" collapsed="false"/>
    <col min="6" max="6" customWidth="true" style="29" width="3.0" collapsed="false"/>
    <col min="7" max="8" bestFit="true" customWidth="true" style="29" width="12.0" collapsed="false"/>
    <col min="9" max="9" bestFit="true" customWidth="true" style="29" width="11.59765625" collapsed="false"/>
    <col min="10" max="10" bestFit="true" customWidth="true" style="29" width="10.59765625" collapsed="false"/>
    <col min="11" max="11" bestFit="true" customWidth="true" style="29" width="8.59765625" collapsed="false"/>
    <col min="12" max="12" bestFit="true" customWidth="true" style="29" width="11.1328125" collapsed="false"/>
    <col min="13" max="13" bestFit="true" customWidth="true" style="29" width="8.73046875" collapsed="false"/>
    <col min="14" max="14" bestFit="true" customWidth="true" style="29" width="10.59765625" collapsed="false"/>
    <col min="15" max="17" customWidth="true" style="29" width="14.265625" collapsed="false"/>
    <col min="18" max="18" bestFit="true" customWidth="true" style="29" width="10.59765625" collapsed="false"/>
    <col min="19" max="19" customWidth="true" style="29" width="9.1328125" collapsed="false"/>
    <col min="20" max="23" customWidth="true" style="1" width="9.1328125" collapsed="false"/>
    <col min="24" max="16384" style="1" width="9.1328125" collapsed="false"/>
  </cols>
  <sheetData>
    <row r="2" spans="1:21" ht="15.75" customHeight="1" x14ac:dyDescent="0.5">
      <c r="D2" s="243" t="s">
        <v>15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1" ht="15.75" customHeight="1" x14ac:dyDescent="0.5">
      <c r="D3" s="243" t="str">
        <f>'Gas Gross'!C3</f>
        <v>2021 Iowa Energy Efficiency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1" ht="15.75" customHeight="1" x14ac:dyDescent="0.5">
      <c r="D4" s="243" t="s">
        <v>17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21" ht="18" x14ac:dyDescent="0.55000000000000004">
      <c r="D5" s="248" t="s">
        <v>24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7" spans="1:21" x14ac:dyDescent="0.4">
      <c r="D7" s="30"/>
      <c r="E7" s="30"/>
      <c r="F7" s="31"/>
      <c r="G7" s="82" t="s">
        <v>2</v>
      </c>
      <c r="H7" s="82" t="s">
        <v>3</v>
      </c>
      <c r="I7" s="82"/>
      <c r="J7" s="83"/>
      <c r="K7" s="82" t="s">
        <v>2</v>
      </c>
      <c r="L7" s="82" t="s">
        <v>3</v>
      </c>
      <c r="M7" s="82"/>
      <c r="N7" s="83"/>
      <c r="O7" s="84"/>
      <c r="P7" s="84"/>
      <c r="Q7" s="82"/>
      <c r="R7" s="83"/>
    </row>
    <row r="8" spans="1:21" x14ac:dyDescent="0.4">
      <c r="D8" s="34"/>
      <c r="E8" s="34"/>
      <c r="F8" s="35"/>
      <c r="G8" s="85" t="s">
        <v>61</v>
      </c>
      <c r="H8" s="85" t="s">
        <v>61</v>
      </c>
      <c r="I8" s="1"/>
      <c r="J8" s="37" t="s">
        <v>6</v>
      </c>
      <c r="K8" s="85" t="s">
        <v>62</v>
      </c>
      <c r="L8" s="85" t="s">
        <v>62</v>
      </c>
      <c r="M8" s="85"/>
      <c r="N8" s="37" t="s">
        <v>6</v>
      </c>
      <c r="O8" s="85" t="s">
        <v>2</v>
      </c>
      <c r="P8" s="85" t="s">
        <v>3</v>
      </c>
      <c r="Q8" s="85"/>
      <c r="R8" s="37" t="s">
        <v>6</v>
      </c>
    </row>
    <row r="9" spans="1:21" x14ac:dyDescent="0.4">
      <c r="A9" s="1" t="s">
        <v>26</v>
      </c>
      <c r="B9" s="1" t="s">
        <v>27</v>
      </c>
      <c r="C9" s="1" t="s">
        <v>59</v>
      </c>
      <c r="D9" s="47" t="s">
        <v>11</v>
      </c>
      <c r="E9" s="246" t="s">
        <v>10</v>
      </c>
      <c r="F9" s="247"/>
      <c r="G9" s="86" t="s">
        <v>60</v>
      </c>
      <c r="H9" s="86" t="s">
        <v>60</v>
      </c>
      <c r="I9" s="86" t="s">
        <v>4</v>
      </c>
      <c r="J9" s="87" t="s">
        <v>7</v>
      </c>
      <c r="K9" s="86" t="s">
        <v>60</v>
      </c>
      <c r="L9" s="86" t="s">
        <v>60</v>
      </c>
      <c r="M9" s="86" t="s">
        <v>4</v>
      </c>
      <c r="N9" s="87" t="s">
        <v>7</v>
      </c>
      <c r="O9" s="86" t="s">
        <v>8</v>
      </c>
      <c r="P9" s="86" t="s">
        <v>8</v>
      </c>
      <c r="Q9" s="86" t="s">
        <v>4</v>
      </c>
      <c r="R9" s="87" t="s">
        <v>7</v>
      </c>
    </row>
    <row r="10" spans="1:21" s="2" customFormat="1" x14ac:dyDescent="0.4">
      <c r="A10" s="1">
        <f>IF('Gas Gross'!A10="","",'Gas Gross'!A10)</f>
        <v>98856</v>
      </c>
      <c r="B10" s="1" t="str">
        <f>IF('Gas Gross'!B10="","",'Gas Gross'!B10)</f>
        <v>Res</v>
      </c>
      <c r="C10" s="1">
        <v>0.7</v>
      </c>
      <c r="D10" s="57" t="str">
        <f>IF('Gas Gross'!C10="","",'Gas Gross'!C10)</f>
        <v>Residential Equipment</v>
      </c>
      <c r="E10" s="23">
        <f>IF('Gas Gross'!D10="","",'Gas Gross'!D10)</f>
        <v>14829</v>
      </c>
      <c r="F10" s="25" t="str">
        <f>IF('Gas Gross'!E10="","",'Gas Gross'!E10)</f>
        <v/>
      </c>
      <c r="G10" s="22">
        <f>IFERROR(VLOOKUP(A10,Net!$A:$D,3,0),0)</f>
        <v>327824.71343999996</v>
      </c>
      <c r="H10" s="40">
        <v>759931.76854004269</v>
      </c>
      <c r="I10" s="40">
        <f>H10-G10</f>
        <v>432107.05510004272</v>
      </c>
      <c r="J10" s="70">
        <f>IF(G10&gt;0,I10/G10,0)</f>
        <v>1.3181039664940606</v>
      </c>
      <c r="K10" s="22">
        <f>IFERROR(VLOOKUP(A10,Net!$A:$D,4,0),0)</f>
        <v>5417.2678193624306</v>
      </c>
      <c r="L10" s="40">
        <v>12557.257719999567</v>
      </c>
      <c r="M10" s="40">
        <f>L10-K10</f>
        <v>7139.9899006371361</v>
      </c>
      <c r="N10" s="70">
        <f>IF(K10&gt;0,M10/K10,0)</f>
        <v>1.3180057066991118</v>
      </c>
      <c r="O10" s="71">
        <f>'Gas Gross'!N10</f>
        <v>1726236.3627234176</v>
      </c>
      <c r="P10" s="71">
        <f>'Gas Gross'!O10</f>
        <v>2387071.3248988139</v>
      </c>
      <c r="Q10" s="72">
        <f t="shared" ref="Q10:Q59" si="0">P10-O10</f>
        <v>660834.96217539627</v>
      </c>
      <c r="R10" s="73">
        <f t="shared" ref="R10:R61" si="1">IF(O10&gt;0,Q10/O10,0)</f>
        <v>0.38281835352652521</v>
      </c>
      <c r="S10" s="12"/>
      <c r="T10" s="4"/>
      <c r="U10" s="3"/>
    </row>
    <row r="11" spans="1:21" s="2" customFormat="1" x14ac:dyDescent="0.4">
      <c r="A11" s="1">
        <f>IF('Gas Gross'!A11="","",'Gas Gross'!A11)</f>
        <v>98855</v>
      </c>
      <c r="B11" s="1" t="str">
        <f>IF('Gas Gross'!B11="","",'Gas Gross'!B11)</f>
        <v>Res</v>
      </c>
      <c r="C11" s="1">
        <v>0.99799999999999989</v>
      </c>
      <c r="D11" s="58" t="str">
        <f>IF('Gas Gross'!C11="","",'Gas Gross'!C11)</f>
        <v>Residential Assessment</v>
      </c>
      <c r="E11" s="23">
        <f>IF('Gas Gross'!D11="","",'Gas Gross'!D11)</f>
        <v>26822</v>
      </c>
      <c r="F11" s="25" t="str">
        <f>IF('Gas Gross'!E11="","",'Gas Gross'!E11)</f>
        <v/>
      </c>
      <c r="G11" s="23">
        <f>IFERROR(VLOOKUP(A11,Net!$A:$D,3,0),0)</f>
        <v>234009.59999999998</v>
      </c>
      <c r="H11" s="25">
        <v>181599.12981541577</v>
      </c>
      <c r="I11" s="25">
        <f t="shared" ref="I11:I59" si="2">H11-G11</f>
        <v>-52410.470184584206</v>
      </c>
      <c r="J11" s="73">
        <f t="shared" ref="J11:J59" si="3">IF(G11&gt;0,I11/G11,0)</f>
        <v>-0.22396717991306431</v>
      </c>
      <c r="K11" s="25">
        <f>IFERROR(VLOOKUP(A11,Net!$A:$D,4,0),0)</f>
        <v>641.12219178082182</v>
      </c>
      <c r="L11" s="25">
        <v>470.48790987906369</v>
      </c>
      <c r="M11" s="25">
        <f t="shared" ref="M11:M59" si="4">L11-K11</f>
        <v>-170.63428190175813</v>
      </c>
      <c r="N11" s="73">
        <f t="shared" ref="N11:N59" si="5">IF(K11&gt;0,M11/K11,0)</f>
        <v>-0.26614939256398767</v>
      </c>
      <c r="O11" s="72">
        <f>'Gas Gross'!N11</f>
        <v>859629.73144861101</v>
      </c>
      <c r="P11" s="72">
        <f>'Gas Gross'!O11</f>
        <v>405411.72773391043</v>
      </c>
      <c r="Q11" s="72">
        <f t="shared" si="0"/>
        <v>-454218.00371470058</v>
      </c>
      <c r="R11" s="73">
        <f t="shared" si="1"/>
        <v>-0.52838796414041189</v>
      </c>
      <c r="S11" s="12"/>
      <c r="T11" s="4"/>
      <c r="U11" s="3"/>
    </row>
    <row r="12" spans="1:21" s="2" customFormat="1" x14ac:dyDescent="0.4">
      <c r="A12" s="1">
        <f>IF('Gas Gross'!A12="","",'Gas Gross'!A12)</f>
        <v>98854</v>
      </c>
      <c r="B12" s="1" t="str">
        <f>IF('Gas Gross'!B12="","",'Gas Gross'!B12)</f>
        <v>Res</v>
      </c>
      <c r="C12" s="1">
        <v>1.109590277495724</v>
      </c>
      <c r="D12" s="58" t="str">
        <f>IF('Gas Gross'!C12="","",'Gas Gross'!C12)</f>
        <v>Residential Low Income</v>
      </c>
      <c r="E12" s="23">
        <f>IF('Gas Gross'!D12="","",'Gas Gross'!D12)</f>
        <v>3476</v>
      </c>
      <c r="F12" s="25" t="str">
        <f>IF('Gas Gross'!E12="","",'Gas Gross'!E12)</f>
        <v/>
      </c>
      <c r="G12" s="23">
        <f>IFERROR(VLOOKUP(A12,Net!$A:$D,3,0),0)</f>
        <v>36646</v>
      </c>
      <c r="H12" s="25">
        <v>36880.949999999997</v>
      </c>
      <c r="I12" s="25">
        <f t="shared" si="2"/>
        <v>234.94999999999709</v>
      </c>
      <c r="J12" s="73">
        <f t="shared" si="3"/>
        <v>6.4113409376193057E-3</v>
      </c>
      <c r="K12" s="25">
        <f>IFERROR(VLOOKUP(A12,Net!$A:$D,4,0),0)</f>
        <v>381.02466793168878</v>
      </c>
      <c r="L12" s="25">
        <v>394.72000000000082</v>
      </c>
      <c r="M12" s="25">
        <f t="shared" si="4"/>
        <v>13.695332068312041</v>
      </c>
      <c r="N12" s="73">
        <f t="shared" si="5"/>
        <v>3.5943426294822937E-2</v>
      </c>
      <c r="O12" s="72">
        <f>'Gas Gross'!N12</f>
        <v>1255947.9855349886</v>
      </c>
      <c r="P12" s="72">
        <f>'Gas Gross'!O12</f>
        <v>1119860.2025883466</v>
      </c>
      <c r="Q12" s="72">
        <f t="shared" si="0"/>
        <v>-136087.78294664202</v>
      </c>
      <c r="R12" s="73">
        <f t="shared" si="1"/>
        <v>-0.10835463292587991</v>
      </c>
      <c r="S12" s="12"/>
      <c r="T12" s="4"/>
      <c r="U12" s="3"/>
    </row>
    <row r="13" spans="1:21" s="2" customFormat="1" x14ac:dyDescent="0.4">
      <c r="A13" s="1">
        <f>IF('Gas Gross'!A13="","",'Gas Gross'!A13)</f>
        <v>98865</v>
      </c>
      <c r="B13" s="1" t="str">
        <f>IF('Gas Gross'!B13="","",'Gas Gross'!B13)</f>
        <v>Res</v>
      </c>
      <c r="C13" s="1">
        <v>1</v>
      </c>
      <c r="D13" s="58" t="str">
        <f>IF('Gas Gross'!C13="","",'Gas Gross'!C13)</f>
        <v>Residential Education</v>
      </c>
      <c r="E13" s="23">
        <f>IF('Gas Gross'!D13="","",'Gas Gross'!D13)</f>
        <v>0</v>
      </c>
      <c r="F13" s="25" t="str">
        <f>IF('Gas Gross'!E13="","",'Gas Gross'!E13)</f>
        <v/>
      </c>
      <c r="G13" s="23">
        <f>IFERROR(VLOOKUP(A13,Net!$A:$D,3,0),0)</f>
        <v>0</v>
      </c>
      <c r="H13" s="25">
        <v>0</v>
      </c>
      <c r="I13" s="25">
        <f t="shared" si="2"/>
        <v>0</v>
      </c>
      <c r="J13" s="73">
        <f t="shared" si="3"/>
        <v>0</v>
      </c>
      <c r="K13" s="25">
        <f>IFERROR(VLOOKUP(A13,Net!$A:$D,4,0),0)</f>
        <v>0</v>
      </c>
      <c r="L13" s="25">
        <v>0</v>
      </c>
      <c r="M13" s="25">
        <f t="shared" si="4"/>
        <v>0</v>
      </c>
      <c r="N13" s="73">
        <f t="shared" si="5"/>
        <v>0</v>
      </c>
      <c r="O13" s="72">
        <f>'Gas Gross'!N13</f>
        <v>280000</v>
      </c>
      <c r="P13" s="72">
        <f>'Gas Gross'!O13</f>
        <v>108361.64880333429</v>
      </c>
      <c r="Q13" s="72">
        <f t="shared" si="0"/>
        <v>-171638.35119666572</v>
      </c>
      <c r="R13" s="73">
        <f t="shared" si="1"/>
        <v>-0.61299411141666327</v>
      </c>
      <c r="S13" s="12"/>
      <c r="T13" s="4"/>
      <c r="U13" s="3"/>
    </row>
    <row r="14" spans="1:21" s="2" customFormat="1" x14ac:dyDescent="0.4">
      <c r="A14" s="1">
        <f>IF('Gas Gross'!A14="","",'Gas Gross'!A14)</f>
        <v>98858</v>
      </c>
      <c r="B14" s="1" t="str">
        <f>IF('Gas Gross'!B14="","",'Gas Gross'!B14)</f>
        <v>NonRes</v>
      </c>
      <c r="C14" s="1">
        <v>0.70000000000000095</v>
      </c>
      <c r="D14" s="58" t="str">
        <f>IF('Gas Gross'!C14="","",'Gas Gross'!C14)</f>
        <v>Nonresidential Equipment</v>
      </c>
      <c r="E14" s="23">
        <f>IF('Gas Gross'!D14="","",'Gas Gross'!D14)</f>
        <v>21067</v>
      </c>
      <c r="F14" s="25" t="str">
        <f>IF('Gas Gross'!E14="","",'Gas Gross'!E14)</f>
        <v/>
      </c>
      <c r="G14" s="23">
        <f>IFERROR(VLOOKUP(A14,Net!$A:$D,3,0),0)</f>
        <v>63077.788800000009</v>
      </c>
      <c r="H14" s="25">
        <v>4068.5561000000107</v>
      </c>
      <c r="I14" s="25">
        <f t="shared" si="2"/>
        <v>-59009.2327</v>
      </c>
      <c r="J14" s="73">
        <f t="shared" si="3"/>
        <v>-0.93549938611671801</v>
      </c>
      <c r="K14" s="25">
        <f>IFERROR(VLOOKUP(A14,Net!$A:$D,4,0),0)</f>
        <v>780.24950676266394</v>
      </c>
      <c r="L14" s="25">
        <v>273.66450999999989</v>
      </c>
      <c r="M14" s="25">
        <f t="shared" si="4"/>
        <v>-506.58499676266405</v>
      </c>
      <c r="N14" s="73">
        <f t="shared" si="5"/>
        <v>-0.64926025889402694</v>
      </c>
      <c r="O14" s="72">
        <f>'Gas Gross'!N14</f>
        <v>288089.37600000005</v>
      </c>
      <c r="P14" s="72">
        <f>'Gas Gross'!O14</f>
        <v>158150.1565068973</v>
      </c>
      <c r="Q14" s="72">
        <f t="shared" si="0"/>
        <v>-129939.21949310275</v>
      </c>
      <c r="R14" s="73">
        <f t="shared" si="1"/>
        <v>-0.45103787337545809</v>
      </c>
      <c r="S14" s="12"/>
      <c r="T14" s="4"/>
      <c r="U14" s="3"/>
    </row>
    <row r="15" spans="1:21" s="2" customFormat="1" x14ac:dyDescent="0.4">
      <c r="A15" s="1">
        <f>IF('Gas Gross'!A15="","",'Gas Gross'!A15)</f>
        <v>98859</v>
      </c>
      <c r="B15" s="1" t="str">
        <f>IF('Gas Gross'!B15="","",'Gas Gross'!B15)</f>
        <v>NonRes</v>
      </c>
      <c r="C15" s="1">
        <v>0.48812797435208266</v>
      </c>
      <c r="D15" s="58" t="str">
        <f>IF('Gas Gross'!C15="","",'Gas Gross'!C15)</f>
        <v>Nonresidential Energy Solutions</v>
      </c>
      <c r="E15" s="23">
        <f>IF('Gas Gross'!D15="","",'Gas Gross'!D15)</f>
        <v>2915</v>
      </c>
      <c r="F15" s="25" t="str">
        <f>IF('Gas Gross'!E15="","",'Gas Gross'!E15)</f>
        <v/>
      </c>
      <c r="G15" s="23">
        <f>IFERROR(VLOOKUP(A15,Net!$A:$D,3,0),0)</f>
        <v>208161.51560000004</v>
      </c>
      <c r="H15" s="25">
        <v>31509.965120000001</v>
      </c>
      <c r="I15" s="25">
        <f t="shared" si="2"/>
        <v>-176651.55048000003</v>
      </c>
      <c r="J15" s="73">
        <f t="shared" si="3"/>
        <v>-0.84862732657774709</v>
      </c>
      <c r="K15" s="25">
        <f>IFERROR(VLOOKUP(A15,Net!$A:$D,4,0),0)</f>
        <v>2187.645709308516</v>
      </c>
      <c r="L15" s="25">
        <v>308.26144000000005</v>
      </c>
      <c r="M15" s="25">
        <f t="shared" si="4"/>
        <v>-1879.384269308516</v>
      </c>
      <c r="N15" s="73">
        <f t="shared" si="5"/>
        <v>-0.85908987059086583</v>
      </c>
      <c r="O15" s="72">
        <f>'Gas Gross'!N15</f>
        <v>723299.44359762047</v>
      </c>
      <c r="P15" s="72">
        <f>'Gas Gross'!O15</f>
        <v>348104.29574915441</v>
      </c>
      <c r="Q15" s="72">
        <f t="shared" si="0"/>
        <v>-375195.14784846606</v>
      </c>
      <c r="R15" s="73">
        <f t="shared" si="1"/>
        <v>-0.51872727287371079</v>
      </c>
      <c r="S15" s="12"/>
      <c r="T15" s="4"/>
      <c r="U15" s="3"/>
    </row>
    <row r="16" spans="1:21" s="2" customFormat="1" x14ac:dyDescent="0.4">
      <c r="A16" s="1">
        <f>IF('Gas Gross'!A16="","",'Gas Gross'!A16)</f>
        <v>98851</v>
      </c>
      <c r="B16" s="1" t="str">
        <f>IF('Gas Gross'!B16="","",'Gas Gross'!B16)</f>
        <v>NonRes</v>
      </c>
      <c r="C16" s="1">
        <v>0.92</v>
      </c>
      <c r="D16" s="58" t="str">
        <f>IF('Gas Gross'!C16="","",'Gas Gross'!C16)</f>
        <v>Commercial New Construction</v>
      </c>
      <c r="E16" s="23">
        <f>IF('Gas Gross'!D16="","",'Gas Gross'!D16)</f>
        <v>148</v>
      </c>
      <c r="F16" s="25" t="str">
        <f>IF('Gas Gross'!E16="","",'Gas Gross'!E16)</f>
        <v/>
      </c>
      <c r="G16" s="23">
        <f>IFERROR(VLOOKUP(A16,Net!$A:$D,3,0),0)</f>
        <v>0</v>
      </c>
      <c r="H16" s="25">
        <v>67113.08</v>
      </c>
      <c r="I16" s="25">
        <f t="shared" si="2"/>
        <v>67113.08</v>
      </c>
      <c r="J16" s="73">
        <f t="shared" si="3"/>
        <v>0</v>
      </c>
      <c r="K16" s="25">
        <f>IFERROR(VLOOKUP(A16,Net!$A:$D,4,0),0)</f>
        <v>0</v>
      </c>
      <c r="L16" s="25">
        <v>873.08</v>
      </c>
      <c r="M16" s="25">
        <f t="shared" si="4"/>
        <v>873.08</v>
      </c>
      <c r="N16" s="73">
        <f t="shared" si="5"/>
        <v>0</v>
      </c>
      <c r="O16" s="72">
        <f>'Gas Gross'!N16</f>
        <v>0</v>
      </c>
      <c r="P16" s="72">
        <f>'Gas Gross'!O16</f>
        <v>-266621.63</v>
      </c>
      <c r="Q16" s="72">
        <f t="shared" si="0"/>
        <v>-266621.63</v>
      </c>
      <c r="R16" s="73">
        <f t="shared" si="1"/>
        <v>0</v>
      </c>
      <c r="S16" s="12"/>
      <c r="T16" s="4"/>
      <c r="U16" s="3"/>
    </row>
    <row r="17" spans="1:21" s="2" customFormat="1" x14ac:dyDescent="0.4">
      <c r="A17" s="1">
        <f>IF('Gas Gross'!A17="","",'Gas Gross'!A17)</f>
        <v>98850</v>
      </c>
      <c r="B17" s="1" t="str">
        <f>IF('Gas Gross'!B17="","",'Gas Gross'!B17)</f>
        <v>NonRes</v>
      </c>
      <c r="C17" s="1">
        <v>0.99442312982620895</v>
      </c>
      <c r="D17" s="58" t="str">
        <f>IF('Gas Gross'!C17="","",'Gas Gross'!C17)</f>
        <v>Income Qualified Multifamily Housing</v>
      </c>
      <c r="E17" s="23">
        <f>IF('Gas Gross'!D17="","",'Gas Gross'!D17)</f>
        <v>6373</v>
      </c>
      <c r="F17" s="74" t="str">
        <f>IF('Gas Gross'!E17="","",'Gas Gross'!E17)</f>
        <v/>
      </c>
      <c r="G17" s="23">
        <f>IFERROR(VLOOKUP(A17,Net!$A:$D,3,0),0)</f>
        <v>253750</v>
      </c>
      <c r="H17" s="25">
        <v>28501.397399999994</v>
      </c>
      <c r="I17" s="25">
        <f t="shared" si="2"/>
        <v>-225248.60260000001</v>
      </c>
      <c r="J17" s="73">
        <f t="shared" si="3"/>
        <v>-0.88767922206896555</v>
      </c>
      <c r="K17" s="25">
        <f>IFERROR(VLOOKUP(A17,Net!$A:$D,4,0),0)</f>
        <v>3863.8756320948887</v>
      </c>
      <c r="L17" s="25">
        <v>271.66900000000004</v>
      </c>
      <c r="M17" s="25">
        <f t="shared" si="4"/>
        <v>-3592.2066320948888</v>
      </c>
      <c r="N17" s="73">
        <f t="shared" si="5"/>
        <v>-0.92969002476596063</v>
      </c>
      <c r="O17" s="72">
        <f>'Gas Gross'!N17</f>
        <v>966783.50933168514</v>
      </c>
      <c r="P17" s="72">
        <f>'Gas Gross'!O17</f>
        <v>231973.08318217774</v>
      </c>
      <c r="Q17" s="72">
        <f t="shared" si="0"/>
        <v>-734810.4261495074</v>
      </c>
      <c r="R17" s="73">
        <f t="shared" si="1"/>
        <v>-0.76005684732610379</v>
      </c>
      <c r="S17" s="12"/>
      <c r="T17" s="4"/>
      <c r="U17" s="3"/>
    </row>
    <row r="18" spans="1:21" s="2" customFormat="1" x14ac:dyDescent="0.4">
      <c r="A18" s="1">
        <f>IF('Gas Gross'!A18="","",'Gas Gross'!A18)</f>
        <v>98864</v>
      </c>
      <c r="B18" s="1" t="str">
        <f>IF('Gas Gross'!B18="","",'Gas Gross'!B18)</f>
        <v>NonRes</v>
      </c>
      <c r="C18" s="1">
        <v>1</v>
      </c>
      <c r="D18" s="58" t="str">
        <f>IF('Gas Gross'!C18="","",'Gas Gross'!C18)</f>
        <v>Nonresidential Education</v>
      </c>
      <c r="E18" s="23">
        <f>IF('Gas Gross'!D18="","",'Gas Gross'!D18)</f>
        <v>0</v>
      </c>
      <c r="F18" s="25" t="str">
        <f>IF('Gas Gross'!E18="","",'Gas Gross'!E18)</f>
        <v/>
      </c>
      <c r="G18" s="23">
        <f>IFERROR(VLOOKUP(A18,Net!$A:$D,3,0),0)</f>
        <v>0</v>
      </c>
      <c r="H18" s="25">
        <v>0</v>
      </c>
      <c r="I18" s="25">
        <f t="shared" si="2"/>
        <v>0</v>
      </c>
      <c r="J18" s="73">
        <f t="shared" si="3"/>
        <v>0</v>
      </c>
      <c r="K18" s="25">
        <f>IFERROR(VLOOKUP(A18,Net!$A:$D,4,0),0)</f>
        <v>0</v>
      </c>
      <c r="L18" s="25">
        <v>0</v>
      </c>
      <c r="M18" s="25">
        <f t="shared" si="4"/>
        <v>0</v>
      </c>
      <c r="N18" s="73">
        <f t="shared" si="5"/>
        <v>0</v>
      </c>
      <c r="O18" s="72">
        <f>'Gas Gross'!N18</f>
        <v>120000</v>
      </c>
      <c r="P18" s="72">
        <f>'Gas Gross'!O18</f>
        <v>53847.70053736517</v>
      </c>
      <c r="Q18" s="72">
        <f t="shared" si="0"/>
        <v>-66152.299462634837</v>
      </c>
      <c r="R18" s="73">
        <f t="shared" si="1"/>
        <v>-0.55126916218862365</v>
      </c>
      <c r="S18" s="12"/>
      <c r="T18" s="4"/>
      <c r="U18" s="3"/>
    </row>
    <row r="19" spans="1:21" s="2" customFormat="1" x14ac:dyDescent="0.4">
      <c r="A19" s="1">
        <f>IF('Gas Gross'!A19="","",'Gas Gross'!A19)</f>
        <v>98645</v>
      </c>
      <c r="B19" s="1" t="str">
        <f>IF('Gas Gross'!B19="","",'Gas Gross'!B19)</f>
        <v>Other</v>
      </c>
      <c r="C19" s="1">
        <v>1</v>
      </c>
      <c r="D19" s="58" t="str">
        <f>IF('Gas Gross'!C19="","",'Gas Gross'!C19)</f>
        <v>Trees</v>
      </c>
      <c r="E19" s="23">
        <f>IF('Gas Gross'!D19="","",'Gas Gross'!D19)</f>
        <v>12</v>
      </c>
      <c r="F19" s="25" t="str">
        <f>IF('Gas Gross'!E19="","",'Gas Gross'!E19)</f>
        <v/>
      </c>
      <c r="G19" s="23">
        <f>IFERROR(VLOOKUP(A19,Net!$A:$D,3,0),0)</f>
        <v>0</v>
      </c>
      <c r="H19" s="25">
        <v>0</v>
      </c>
      <c r="I19" s="25">
        <f t="shared" si="2"/>
        <v>0</v>
      </c>
      <c r="J19" s="73">
        <f t="shared" si="3"/>
        <v>0</v>
      </c>
      <c r="K19" s="25">
        <f>IFERROR(VLOOKUP(A19,Net!$A:$D,4,0),0)</f>
        <v>0</v>
      </c>
      <c r="L19" s="25">
        <v>0</v>
      </c>
      <c r="M19" s="25">
        <f t="shared" si="4"/>
        <v>0</v>
      </c>
      <c r="N19" s="73">
        <f t="shared" si="5"/>
        <v>0</v>
      </c>
      <c r="O19" s="72">
        <f>'Gas Gross'!N19</f>
        <v>45000</v>
      </c>
      <c r="P19" s="72">
        <f>'Gas Gross'!O19</f>
        <v>48497.87</v>
      </c>
      <c r="Q19" s="72">
        <f t="shared" si="0"/>
        <v>3497.8700000000026</v>
      </c>
      <c r="R19" s="73">
        <f t="shared" si="1"/>
        <v>7.7730444444444505E-2</v>
      </c>
      <c r="S19" s="12"/>
      <c r="T19" s="4"/>
      <c r="U19" s="3"/>
    </row>
    <row r="20" spans="1:21" s="2" customFormat="1" x14ac:dyDescent="0.4">
      <c r="A20" s="1">
        <f>IF('Gas Gross'!A20="","",'Gas Gross'!A20)</f>
        <v>98656</v>
      </c>
      <c r="B20" s="1" t="str">
        <f>IF('Gas Gross'!B20="","",'Gas Gross'!B20)</f>
        <v>Other</v>
      </c>
      <c r="C20" s="1"/>
      <c r="D20" s="58" t="str">
        <f>IF('Gas Gross'!C20="","",'Gas Gross'!C20)</f>
        <v>Assessments</v>
      </c>
      <c r="E20" s="23">
        <f>IF('Gas Gross'!D20="","",'Gas Gross'!D20)</f>
        <v>0</v>
      </c>
      <c r="F20" s="25" t="str">
        <f>IF('Gas Gross'!E20="","",'Gas Gross'!E20)</f>
        <v/>
      </c>
      <c r="G20" s="23">
        <f>IFERROR(VLOOKUP(A20,Net!$A:$D,3,0),0)</f>
        <v>0</v>
      </c>
      <c r="H20" s="25"/>
      <c r="I20" s="25">
        <f t="shared" si="2"/>
        <v>0</v>
      </c>
      <c r="J20" s="73">
        <f t="shared" si="3"/>
        <v>0</v>
      </c>
      <c r="K20" s="25">
        <f>IFERROR(VLOOKUP(A20,Net!$A:$D,4,0),0)</f>
        <v>0</v>
      </c>
      <c r="L20" s="25"/>
      <c r="M20" s="25">
        <f t="shared" si="4"/>
        <v>0</v>
      </c>
      <c r="N20" s="73">
        <f t="shared" si="5"/>
        <v>0</v>
      </c>
      <c r="O20" s="72">
        <f>'Gas Gross'!N20</f>
        <v>500000</v>
      </c>
      <c r="P20" s="72">
        <f>'Gas Gross'!O20</f>
        <v>394114.65</v>
      </c>
      <c r="Q20" s="72">
        <f t="shared" si="0"/>
        <v>-105885.34999999998</v>
      </c>
      <c r="R20" s="73">
        <f t="shared" si="1"/>
        <v>-0.21177069999999995</v>
      </c>
      <c r="S20" s="12"/>
      <c r="T20" s="4"/>
      <c r="U20" s="3"/>
    </row>
    <row r="21" spans="1:21" s="2" customFormat="1" hidden="1" x14ac:dyDescent="0.4">
      <c r="A21" s="1" t="str">
        <f>IF('Gas Gross'!A21="","",'Gas Gross'!A21)</f>
        <v/>
      </c>
      <c r="B21" s="1" t="str">
        <f>IF('Gas Gross'!B21="","",'Gas Gross'!B21)</f>
        <v/>
      </c>
      <c r="C21" s="1"/>
      <c r="D21" s="58" t="str">
        <f>IF('Gas Gross'!C21="","",'Gas Gross'!C21)</f>
        <v/>
      </c>
      <c r="E21" s="23" t="str">
        <f>IF('Gas Gross'!D21="","",'Gas Gross'!D21)</f>
        <v/>
      </c>
      <c r="F21" s="25" t="str">
        <f>IF('Gas Gross'!E21="","",'Gas Gross'!E21)</f>
        <v/>
      </c>
      <c r="G21" s="23">
        <f>IFERROR(VLOOKUP(A21,Net!$A:$D,3,0),0)</f>
        <v>0</v>
      </c>
      <c r="H21" s="25"/>
      <c r="I21" s="25">
        <f t="shared" si="2"/>
        <v>0</v>
      </c>
      <c r="J21" s="73">
        <f t="shared" si="3"/>
        <v>0</v>
      </c>
      <c r="K21" s="25">
        <f>IFERROR(VLOOKUP(A21,Net!$A:$D,4,0),0)</f>
        <v>0</v>
      </c>
      <c r="L21" s="25"/>
      <c r="M21" s="25">
        <f t="shared" si="4"/>
        <v>0</v>
      </c>
      <c r="N21" s="73">
        <f t="shared" si="5"/>
        <v>0</v>
      </c>
      <c r="O21" s="72">
        <f>'Gas Gross'!N21</f>
        <v>0</v>
      </c>
      <c r="P21" s="72">
        <f>'Gas Gross'!O21</f>
        <v>0</v>
      </c>
      <c r="Q21" s="72">
        <f t="shared" si="0"/>
        <v>0</v>
      </c>
      <c r="R21" s="73">
        <f t="shared" si="1"/>
        <v>0</v>
      </c>
      <c r="S21" s="12"/>
      <c r="T21" s="4"/>
      <c r="U21" s="3"/>
    </row>
    <row r="22" spans="1:21" s="2" customFormat="1" hidden="1" x14ac:dyDescent="0.4">
      <c r="A22" s="1" t="str">
        <f>IF('Gas Gross'!A22="","",'Gas Gross'!A22)</f>
        <v/>
      </c>
      <c r="B22" s="1" t="str">
        <f>IF('Gas Gross'!B22="","",'Gas Gross'!B22)</f>
        <v/>
      </c>
      <c r="C22" s="1"/>
      <c r="D22" s="58" t="str">
        <f>IF('Gas Gross'!C22="","",'Gas Gross'!C22)</f>
        <v/>
      </c>
      <c r="E22" s="23" t="str">
        <f>IF('Gas Gross'!D22="","",'Gas Gross'!D22)</f>
        <v/>
      </c>
      <c r="F22" s="25" t="str">
        <f>IF('Gas Gross'!E22="","",'Gas Gross'!E22)</f>
        <v/>
      </c>
      <c r="G22" s="23">
        <f>IFERROR(VLOOKUP(A22,Net!$A:$D,3,0),0)</f>
        <v>0</v>
      </c>
      <c r="H22" s="25"/>
      <c r="I22" s="25">
        <f t="shared" si="2"/>
        <v>0</v>
      </c>
      <c r="J22" s="73">
        <f t="shared" si="3"/>
        <v>0</v>
      </c>
      <c r="K22" s="25">
        <f>IFERROR(VLOOKUP(A22,Net!$A:$D,4,0),0)</f>
        <v>0</v>
      </c>
      <c r="L22" s="25"/>
      <c r="M22" s="25">
        <f t="shared" si="4"/>
        <v>0</v>
      </c>
      <c r="N22" s="73">
        <f t="shared" si="5"/>
        <v>0</v>
      </c>
      <c r="O22" s="72">
        <f>'Gas Gross'!N22</f>
        <v>0</v>
      </c>
      <c r="P22" s="72">
        <f>'Gas Gross'!O22</f>
        <v>0</v>
      </c>
      <c r="Q22" s="72">
        <f t="shared" si="0"/>
        <v>0</v>
      </c>
      <c r="R22" s="73">
        <f t="shared" si="1"/>
        <v>0</v>
      </c>
      <c r="S22" s="12"/>
      <c r="T22" s="4"/>
      <c r="U22" s="3"/>
    </row>
    <row r="23" spans="1:21" s="2" customFormat="1" hidden="1" x14ac:dyDescent="0.4">
      <c r="A23" s="1" t="str">
        <f>IF('Gas Gross'!A23="","",'Gas Gross'!A23)</f>
        <v/>
      </c>
      <c r="B23" s="1" t="str">
        <f>IF('Gas Gross'!B23="","",'Gas Gross'!B23)</f>
        <v/>
      </c>
      <c r="C23" s="1"/>
      <c r="D23" s="58" t="str">
        <f>IF('Gas Gross'!C23="","",'Gas Gross'!C23)</f>
        <v/>
      </c>
      <c r="E23" s="23" t="str">
        <f>IF('Gas Gross'!D23="","",'Gas Gross'!D23)</f>
        <v/>
      </c>
      <c r="F23" s="25" t="str">
        <f>IF('Gas Gross'!E23="","",'Gas Gross'!E23)</f>
        <v/>
      </c>
      <c r="G23" s="23">
        <f>IFERROR(VLOOKUP(A23,Net!$A:$D,3,0),0)</f>
        <v>0</v>
      </c>
      <c r="H23" s="25"/>
      <c r="I23" s="25">
        <f t="shared" si="2"/>
        <v>0</v>
      </c>
      <c r="J23" s="73">
        <f t="shared" si="3"/>
        <v>0</v>
      </c>
      <c r="K23" s="25">
        <f>IFERROR(VLOOKUP(A23,Net!$A:$D,4,0),0)</f>
        <v>0</v>
      </c>
      <c r="L23" s="25"/>
      <c r="M23" s="25">
        <f t="shared" si="4"/>
        <v>0</v>
      </c>
      <c r="N23" s="73">
        <f t="shared" si="5"/>
        <v>0</v>
      </c>
      <c r="O23" s="72">
        <f>'Gas Gross'!N23</f>
        <v>0</v>
      </c>
      <c r="P23" s="72">
        <f>'Gas Gross'!O23</f>
        <v>0</v>
      </c>
      <c r="Q23" s="72">
        <f t="shared" si="0"/>
        <v>0</v>
      </c>
      <c r="R23" s="73">
        <f t="shared" si="1"/>
        <v>0</v>
      </c>
      <c r="S23" s="12"/>
      <c r="T23" s="4"/>
      <c r="U23" s="3"/>
    </row>
    <row r="24" spans="1:21" s="2" customFormat="1" hidden="1" x14ac:dyDescent="0.4">
      <c r="A24" s="1" t="str">
        <f>IF('Gas Gross'!A24="","",'Gas Gross'!A24)</f>
        <v/>
      </c>
      <c r="B24" s="1" t="str">
        <f>IF('Gas Gross'!B24="","",'Gas Gross'!B24)</f>
        <v/>
      </c>
      <c r="C24" s="1"/>
      <c r="D24" s="58" t="str">
        <f>IF('Gas Gross'!C24="","",'Gas Gross'!C24)</f>
        <v/>
      </c>
      <c r="E24" s="23" t="str">
        <f>IF('Gas Gross'!D24="","",'Gas Gross'!D24)</f>
        <v/>
      </c>
      <c r="F24" s="25" t="str">
        <f>IF('Gas Gross'!E24="","",'Gas Gross'!E24)</f>
        <v/>
      </c>
      <c r="G24" s="23">
        <f>IFERROR(VLOOKUP(A24,Net!$A:$D,3,0),0)</f>
        <v>0</v>
      </c>
      <c r="H24" s="25"/>
      <c r="I24" s="25">
        <f t="shared" si="2"/>
        <v>0</v>
      </c>
      <c r="J24" s="73">
        <f t="shared" si="3"/>
        <v>0</v>
      </c>
      <c r="K24" s="25">
        <f>IFERROR(VLOOKUP(A24,Net!$A:$D,4,0),0)</f>
        <v>0</v>
      </c>
      <c r="L24" s="25"/>
      <c r="M24" s="25">
        <f t="shared" si="4"/>
        <v>0</v>
      </c>
      <c r="N24" s="73">
        <f t="shared" si="5"/>
        <v>0</v>
      </c>
      <c r="O24" s="72">
        <f>'Gas Gross'!N24</f>
        <v>0</v>
      </c>
      <c r="P24" s="72">
        <f>'Gas Gross'!O24</f>
        <v>0</v>
      </c>
      <c r="Q24" s="72">
        <f t="shared" si="0"/>
        <v>0</v>
      </c>
      <c r="R24" s="73">
        <f t="shared" si="1"/>
        <v>0</v>
      </c>
      <c r="S24" s="12"/>
      <c r="T24" s="4"/>
      <c r="U24" s="3"/>
    </row>
    <row r="25" spans="1:21" s="2" customFormat="1" hidden="1" x14ac:dyDescent="0.4">
      <c r="A25" s="1" t="str">
        <f>IF('Gas Gross'!A25="","",'Gas Gross'!A25)</f>
        <v/>
      </c>
      <c r="B25" s="1" t="str">
        <f>IF('Gas Gross'!B25="","",'Gas Gross'!B25)</f>
        <v/>
      </c>
      <c r="C25" s="1"/>
      <c r="D25" s="58" t="str">
        <f>IF('Gas Gross'!C25="","",'Gas Gross'!C25)</f>
        <v/>
      </c>
      <c r="E25" s="23" t="str">
        <f>IF('Gas Gross'!D25="","",'Gas Gross'!D25)</f>
        <v/>
      </c>
      <c r="F25" s="25" t="str">
        <f>IF('Gas Gross'!E25="","",'Gas Gross'!E25)</f>
        <v/>
      </c>
      <c r="G25" s="23">
        <f>IFERROR(VLOOKUP(A25,Net!$A:$D,3,0),0)</f>
        <v>0</v>
      </c>
      <c r="H25" s="25"/>
      <c r="I25" s="25">
        <f t="shared" si="2"/>
        <v>0</v>
      </c>
      <c r="J25" s="73">
        <f t="shared" si="3"/>
        <v>0</v>
      </c>
      <c r="K25" s="25">
        <f>IFERROR(VLOOKUP(A25,Net!$A:$D,4,0),0)</f>
        <v>0</v>
      </c>
      <c r="L25" s="25"/>
      <c r="M25" s="25">
        <f t="shared" si="4"/>
        <v>0</v>
      </c>
      <c r="N25" s="73">
        <f t="shared" si="5"/>
        <v>0</v>
      </c>
      <c r="O25" s="72">
        <f>'Gas Gross'!N25</f>
        <v>0</v>
      </c>
      <c r="P25" s="72">
        <f>'Gas Gross'!O25</f>
        <v>0</v>
      </c>
      <c r="Q25" s="72">
        <f t="shared" si="0"/>
        <v>0</v>
      </c>
      <c r="R25" s="73">
        <f t="shared" si="1"/>
        <v>0</v>
      </c>
      <c r="S25" s="12"/>
      <c r="T25" s="4"/>
      <c r="U25" s="3"/>
    </row>
    <row r="26" spans="1:21" s="2" customFormat="1" hidden="1" x14ac:dyDescent="0.4">
      <c r="A26" s="1" t="str">
        <f>IF('Gas Gross'!A26="","",'Gas Gross'!A26)</f>
        <v/>
      </c>
      <c r="B26" s="1" t="str">
        <f>IF('Gas Gross'!B26="","",'Gas Gross'!B26)</f>
        <v/>
      </c>
      <c r="C26" s="1"/>
      <c r="D26" s="58" t="str">
        <f>IF('Gas Gross'!C26="","",'Gas Gross'!C26)</f>
        <v/>
      </c>
      <c r="E26" s="23" t="str">
        <f>IF('Gas Gross'!D26="","",'Gas Gross'!D26)</f>
        <v/>
      </c>
      <c r="F26" s="25" t="str">
        <f>IF('Gas Gross'!E26="","",'Gas Gross'!E26)</f>
        <v/>
      </c>
      <c r="G26" s="23">
        <f>IFERROR(VLOOKUP(A26,Net!$A:$D,3,0),0)</f>
        <v>0</v>
      </c>
      <c r="H26" s="25"/>
      <c r="I26" s="25">
        <f t="shared" si="2"/>
        <v>0</v>
      </c>
      <c r="J26" s="73">
        <f t="shared" si="3"/>
        <v>0</v>
      </c>
      <c r="K26" s="25">
        <f>IFERROR(VLOOKUP(A26,Net!$A:$D,4,0),0)</f>
        <v>0</v>
      </c>
      <c r="L26" s="25"/>
      <c r="M26" s="25">
        <f t="shared" si="4"/>
        <v>0</v>
      </c>
      <c r="N26" s="73">
        <f t="shared" si="5"/>
        <v>0</v>
      </c>
      <c r="O26" s="72">
        <f>'Gas Gross'!N26</f>
        <v>0</v>
      </c>
      <c r="P26" s="72">
        <f>'Gas Gross'!O26</f>
        <v>0</v>
      </c>
      <c r="Q26" s="72">
        <f t="shared" si="0"/>
        <v>0</v>
      </c>
      <c r="R26" s="73">
        <f t="shared" si="1"/>
        <v>0</v>
      </c>
      <c r="S26" s="12"/>
      <c r="U26" s="5"/>
    </row>
    <row r="27" spans="1:21" s="2" customFormat="1" hidden="1" x14ac:dyDescent="0.4">
      <c r="A27" s="1" t="str">
        <f>IF('Gas Gross'!A27="","",'Gas Gross'!A27)</f>
        <v/>
      </c>
      <c r="B27" s="1" t="str">
        <f>IF('Gas Gross'!B27="","",'Gas Gross'!B27)</f>
        <v/>
      </c>
      <c r="C27" s="1"/>
      <c r="D27" s="58" t="str">
        <f>IF('Gas Gross'!C27="","",'Gas Gross'!C27)</f>
        <v/>
      </c>
      <c r="E27" s="23" t="str">
        <f>IF('Gas Gross'!D27="","",'Gas Gross'!D27)</f>
        <v/>
      </c>
      <c r="F27" s="25" t="str">
        <f>IF('Gas Gross'!E27="","",'Gas Gross'!E27)</f>
        <v/>
      </c>
      <c r="G27" s="23">
        <f>IFERROR(VLOOKUP(A27,Net!$A:$D,3,0),0)</f>
        <v>0</v>
      </c>
      <c r="H27" s="25"/>
      <c r="I27" s="25">
        <f t="shared" si="2"/>
        <v>0</v>
      </c>
      <c r="J27" s="73">
        <f t="shared" si="3"/>
        <v>0</v>
      </c>
      <c r="K27" s="25">
        <f>IFERROR(VLOOKUP(A27,Net!$A:$D,4,0),0)</f>
        <v>0</v>
      </c>
      <c r="L27" s="25"/>
      <c r="M27" s="25">
        <f t="shared" si="4"/>
        <v>0</v>
      </c>
      <c r="N27" s="73">
        <f t="shared" si="5"/>
        <v>0</v>
      </c>
      <c r="O27" s="72">
        <f>'Gas Gross'!N27</f>
        <v>0</v>
      </c>
      <c r="P27" s="72">
        <f>'Gas Gross'!O27</f>
        <v>0</v>
      </c>
      <c r="Q27" s="72">
        <f t="shared" si="0"/>
        <v>0</v>
      </c>
      <c r="R27" s="73">
        <f t="shared" si="1"/>
        <v>0</v>
      </c>
      <c r="S27" s="12"/>
      <c r="U27" s="5"/>
    </row>
    <row r="28" spans="1:21" s="2" customFormat="1" hidden="1" x14ac:dyDescent="0.4">
      <c r="A28" s="1" t="str">
        <f>IF('Gas Gross'!A28="","",'Gas Gross'!A28)</f>
        <v/>
      </c>
      <c r="B28" s="1" t="str">
        <f>IF('Gas Gross'!B28="","",'Gas Gross'!B28)</f>
        <v/>
      </c>
      <c r="C28" s="1"/>
      <c r="D28" s="58" t="str">
        <f>IF('Gas Gross'!C28="","",'Gas Gross'!C28)</f>
        <v/>
      </c>
      <c r="E28" s="23" t="str">
        <f>IF('Gas Gross'!D28="","",'Gas Gross'!D28)</f>
        <v/>
      </c>
      <c r="F28" s="25" t="str">
        <f>IF('Gas Gross'!E28="","",'Gas Gross'!E28)</f>
        <v/>
      </c>
      <c r="G28" s="23">
        <f>IFERROR(VLOOKUP(A28,Net!$A:$D,3,0),0)</f>
        <v>0</v>
      </c>
      <c r="H28" s="25"/>
      <c r="I28" s="25">
        <f t="shared" si="2"/>
        <v>0</v>
      </c>
      <c r="J28" s="73">
        <f t="shared" si="3"/>
        <v>0</v>
      </c>
      <c r="K28" s="25">
        <f>IFERROR(VLOOKUP(A28,Net!$A:$D,4,0),0)</f>
        <v>0</v>
      </c>
      <c r="L28" s="25"/>
      <c r="M28" s="25">
        <f t="shared" si="4"/>
        <v>0</v>
      </c>
      <c r="N28" s="73">
        <f t="shared" si="5"/>
        <v>0</v>
      </c>
      <c r="O28" s="72">
        <f>'Gas Gross'!N28</f>
        <v>0</v>
      </c>
      <c r="P28" s="72">
        <f>'Gas Gross'!O28</f>
        <v>0</v>
      </c>
      <c r="Q28" s="72">
        <f t="shared" si="0"/>
        <v>0</v>
      </c>
      <c r="R28" s="73">
        <f t="shared" si="1"/>
        <v>0</v>
      </c>
      <c r="S28" s="12"/>
      <c r="U28" s="5"/>
    </row>
    <row r="29" spans="1:21" s="2" customFormat="1" hidden="1" x14ac:dyDescent="0.4">
      <c r="A29" s="1" t="str">
        <f>IF('Gas Gross'!A29="","",'Gas Gross'!A29)</f>
        <v/>
      </c>
      <c r="B29" s="1" t="str">
        <f>IF('Gas Gross'!B29="","",'Gas Gross'!B29)</f>
        <v/>
      </c>
      <c r="C29" s="1"/>
      <c r="D29" s="58" t="str">
        <f>IF('Gas Gross'!C29="","",'Gas Gross'!C29)</f>
        <v/>
      </c>
      <c r="E29" s="23" t="str">
        <f>IF('Gas Gross'!D29="","",'Gas Gross'!D29)</f>
        <v/>
      </c>
      <c r="F29" s="25" t="str">
        <f>IF('Gas Gross'!E29="","",'Gas Gross'!E29)</f>
        <v/>
      </c>
      <c r="G29" s="23">
        <f>IFERROR(VLOOKUP(A29,Net!$A:$D,3,0),0)</f>
        <v>0</v>
      </c>
      <c r="H29" s="25"/>
      <c r="I29" s="25">
        <f t="shared" si="2"/>
        <v>0</v>
      </c>
      <c r="J29" s="73">
        <f t="shared" si="3"/>
        <v>0</v>
      </c>
      <c r="K29" s="25">
        <f>IFERROR(VLOOKUP(A29,Net!$A:$D,4,0),0)</f>
        <v>0</v>
      </c>
      <c r="L29" s="25"/>
      <c r="M29" s="25">
        <f t="shared" si="4"/>
        <v>0</v>
      </c>
      <c r="N29" s="73">
        <f t="shared" si="5"/>
        <v>0</v>
      </c>
      <c r="O29" s="72">
        <f>'Gas Gross'!N29</f>
        <v>0</v>
      </c>
      <c r="P29" s="72">
        <f>'Gas Gross'!O29</f>
        <v>0</v>
      </c>
      <c r="Q29" s="72">
        <f t="shared" si="0"/>
        <v>0</v>
      </c>
      <c r="R29" s="73">
        <f t="shared" si="1"/>
        <v>0</v>
      </c>
      <c r="S29" s="12"/>
      <c r="U29" s="5"/>
    </row>
    <row r="30" spans="1:21" s="2" customFormat="1" hidden="1" x14ac:dyDescent="0.4">
      <c r="A30" s="1" t="str">
        <f>IF('Gas Gross'!A30="","",'Gas Gross'!A30)</f>
        <v/>
      </c>
      <c r="B30" s="1" t="str">
        <f>IF('Gas Gross'!B30="","",'Gas Gross'!B30)</f>
        <v/>
      </c>
      <c r="C30" s="1"/>
      <c r="D30" s="58" t="str">
        <f>IF('Gas Gross'!C30="","",'Gas Gross'!C30)</f>
        <v/>
      </c>
      <c r="E30" s="23" t="str">
        <f>IF('Gas Gross'!D30="","",'Gas Gross'!D30)</f>
        <v/>
      </c>
      <c r="F30" s="25" t="str">
        <f>IF('Gas Gross'!E30="","",'Gas Gross'!E30)</f>
        <v/>
      </c>
      <c r="G30" s="23">
        <f>IFERROR(VLOOKUP(A30,Net!$A:$D,3,0),0)</f>
        <v>0</v>
      </c>
      <c r="H30" s="25"/>
      <c r="I30" s="25">
        <f t="shared" si="2"/>
        <v>0</v>
      </c>
      <c r="J30" s="73">
        <f t="shared" si="3"/>
        <v>0</v>
      </c>
      <c r="K30" s="25">
        <f>IFERROR(VLOOKUP(A30,Net!$A:$D,4,0),0)</f>
        <v>0</v>
      </c>
      <c r="L30" s="25"/>
      <c r="M30" s="25">
        <f t="shared" si="4"/>
        <v>0</v>
      </c>
      <c r="N30" s="73">
        <f t="shared" si="5"/>
        <v>0</v>
      </c>
      <c r="O30" s="72">
        <f>'Gas Gross'!N30</f>
        <v>0</v>
      </c>
      <c r="P30" s="72">
        <f>'Gas Gross'!O30</f>
        <v>0</v>
      </c>
      <c r="Q30" s="72">
        <f t="shared" si="0"/>
        <v>0</v>
      </c>
      <c r="R30" s="73">
        <f t="shared" si="1"/>
        <v>0</v>
      </c>
      <c r="S30" s="12"/>
      <c r="U30" s="5"/>
    </row>
    <row r="31" spans="1:21" s="2" customFormat="1" hidden="1" x14ac:dyDescent="0.4">
      <c r="A31" s="1" t="str">
        <f>IF('Gas Gross'!A31="","",'Gas Gross'!A31)</f>
        <v/>
      </c>
      <c r="B31" s="1" t="str">
        <f>IF('Gas Gross'!B31="","",'Gas Gross'!B31)</f>
        <v/>
      </c>
      <c r="C31" s="1"/>
      <c r="D31" s="58" t="str">
        <f>IF('Gas Gross'!C31="","",'Gas Gross'!C31)</f>
        <v/>
      </c>
      <c r="E31" s="23" t="str">
        <f>IF('Gas Gross'!D31="","",'Gas Gross'!D31)</f>
        <v/>
      </c>
      <c r="F31" s="25" t="str">
        <f>IF('Gas Gross'!E31="","",'Gas Gross'!E31)</f>
        <v/>
      </c>
      <c r="G31" s="23">
        <f>IFERROR(VLOOKUP(A31,Net!$A:$D,3,0),0)</f>
        <v>0</v>
      </c>
      <c r="H31" s="25"/>
      <c r="I31" s="25">
        <f t="shared" si="2"/>
        <v>0</v>
      </c>
      <c r="J31" s="73">
        <f t="shared" si="3"/>
        <v>0</v>
      </c>
      <c r="K31" s="25">
        <f>IFERROR(VLOOKUP(A31,Net!$A:$D,4,0),0)</f>
        <v>0</v>
      </c>
      <c r="L31" s="25"/>
      <c r="M31" s="25">
        <f t="shared" si="4"/>
        <v>0</v>
      </c>
      <c r="N31" s="73">
        <f t="shared" si="5"/>
        <v>0</v>
      </c>
      <c r="O31" s="72">
        <f>'Gas Gross'!N31</f>
        <v>0</v>
      </c>
      <c r="P31" s="72">
        <f>'Gas Gross'!O31</f>
        <v>0</v>
      </c>
      <c r="Q31" s="72">
        <f t="shared" si="0"/>
        <v>0</v>
      </c>
      <c r="R31" s="73">
        <f t="shared" si="1"/>
        <v>0</v>
      </c>
      <c r="S31" s="12"/>
      <c r="U31" s="5"/>
    </row>
    <row r="32" spans="1:21" s="2" customFormat="1" hidden="1" x14ac:dyDescent="0.4">
      <c r="A32" s="1" t="str">
        <f>IF('Gas Gross'!A32="","",'Gas Gross'!A32)</f>
        <v/>
      </c>
      <c r="B32" s="1" t="str">
        <f>IF('Gas Gross'!B32="","",'Gas Gross'!B32)</f>
        <v/>
      </c>
      <c r="C32" s="1"/>
      <c r="D32" s="58" t="str">
        <f>IF('Gas Gross'!C32="","",'Gas Gross'!C32)</f>
        <v/>
      </c>
      <c r="E32" s="23" t="str">
        <f>IF('Gas Gross'!D32="","",'Gas Gross'!D32)</f>
        <v/>
      </c>
      <c r="F32" s="25" t="str">
        <f>IF('Gas Gross'!E32="","",'Gas Gross'!E32)</f>
        <v/>
      </c>
      <c r="G32" s="23">
        <f>IFERROR(VLOOKUP(A32,Net!$A:$D,3,0),0)</f>
        <v>0</v>
      </c>
      <c r="H32" s="25"/>
      <c r="I32" s="25">
        <f t="shared" si="2"/>
        <v>0</v>
      </c>
      <c r="J32" s="73">
        <f t="shared" si="3"/>
        <v>0</v>
      </c>
      <c r="K32" s="25">
        <f>IFERROR(VLOOKUP(A32,Net!$A:$D,4,0),0)</f>
        <v>0</v>
      </c>
      <c r="L32" s="25"/>
      <c r="M32" s="25">
        <f t="shared" si="4"/>
        <v>0</v>
      </c>
      <c r="N32" s="73">
        <f t="shared" si="5"/>
        <v>0</v>
      </c>
      <c r="O32" s="72">
        <f>'Gas Gross'!N32</f>
        <v>0</v>
      </c>
      <c r="P32" s="72">
        <f>'Gas Gross'!O32</f>
        <v>0</v>
      </c>
      <c r="Q32" s="72">
        <f t="shared" si="0"/>
        <v>0</v>
      </c>
      <c r="R32" s="73">
        <f t="shared" si="1"/>
        <v>0</v>
      </c>
      <c r="S32" s="12"/>
      <c r="U32" s="5"/>
    </row>
    <row r="33" spans="1:21" s="2" customFormat="1" hidden="1" x14ac:dyDescent="0.4">
      <c r="A33" s="1" t="str">
        <f>IF('Gas Gross'!A33="","",'Gas Gross'!A33)</f>
        <v/>
      </c>
      <c r="B33" s="1" t="str">
        <f>IF('Gas Gross'!B33="","",'Gas Gross'!B33)</f>
        <v/>
      </c>
      <c r="C33" s="1"/>
      <c r="D33" s="58" t="str">
        <f>IF('Gas Gross'!C33="","",'Gas Gross'!C33)</f>
        <v/>
      </c>
      <c r="E33" s="23" t="str">
        <f>IF('Gas Gross'!D33="","",'Gas Gross'!D33)</f>
        <v/>
      </c>
      <c r="F33" s="25" t="str">
        <f>IF('Gas Gross'!E33="","",'Gas Gross'!E33)</f>
        <v/>
      </c>
      <c r="G33" s="23">
        <f>IFERROR(VLOOKUP(A33,Net!$A:$D,3,0),0)</f>
        <v>0</v>
      </c>
      <c r="H33" s="25"/>
      <c r="I33" s="25">
        <f t="shared" si="2"/>
        <v>0</v>
      </c>
      <c r="J33" s="73">
        <f t="shared" si="3"/>
        <v>0</v>
      </c>
      <c r="K33" s="25">
        <f>IFERROR(VLOOKUP(A33,Net!$A:$D,4,0),0)</f>
        <v>0</v>
      </c>
      <c r="L33" s="25"/>
      <c r="M33" s="25">
        <f t="shared" si="4"/>
        <v>0</v>
      </c>
      <c r="N33" s="73">
        <f t="shared" si="5"/>
        <v>0</v>
      </c>
      <c r="O33" s="72">
        <f>'Gas Gross'!N33</f>
        <v>0</v>
      </c>
      <c r="P33" s="72">
        <f>'Gas Gross'!O33</f>
        <v>0</v>
      </c>
      <c r="Q33" s="72">
        <f t="shared" si="0"/>
        <v>0</v>
      </c>
      <c r="R33" s="73">
        <f t="shared" si="1"/>
        <v>0</v>
      </c>
      <c r="S33" s="12"/>
      <c r="U33" s="5"/>
    </row>
    <row r="34" spans="1:21" s="2" customFormat="1" hidden="1" x14ac:dyDescent="0.4">
      <c r="A34" s="1" t="str">
        <f>IF('Gas Gross'!A34="","",'Gas Gross'!A34)</f>
        <v/>
      </c>
      <c r="B34" s="1" t="str">
        <f>IF('Gas Gross'!B34="","",'Gas Gross'!B34)</f>
        <v/>
      </c>
      <c r="C34" s="1"/>
      <c r="D34" s="58" t="str">
        <f>IF('Gas Gross'!C34="","",'Gas Gross'!C34)</f>
        <v/>
      </c>
      <c r="E34" s="23" t="str">
        <f>IF('Gas Gross'!D34="","",'Gas Gross'!D34)</f>
        <v/>
      </c>
      <c r="F34" s="25" t="str">
        <f>IF('Gas Gross'!E34="","",'Gas Gross'!E34)</f>
        <v/>
      </c>
      <c r="G34" s="23">
        <f>IFERROR(VLOOKUP(A34,Net!$A:$D,3,0),0)</f>
        <v>0</v>
      </c>
      <c r="H34" s="25"/>
      <c r="I34" s="25">
        <f t="shared" si="2"/>
        <v>0</v>
      </c>
      <c r="J34" s="73">
        <f t="shared" si="3"/>
        <v>0</v>
      </c>
      <c r="K34" s="25">
        <f>IFERROR(VLOOKUP(A34,Net!$A:$D,4,0),0)</f>
        <v>0</v>
      </c>
      <c r="L34" s="25"/>
      <c r="M34" s="25">
        <f t="shared" si="4"/>
        <v>0</v>
      </c>
      <c r="N34" s="73">
        <f t="shared" si="5"/>
        <v>0</v>
      </c>
      <c r="O34" s="72">
        <f>'Gas Gross'!N34</f>
        <v>0</v>
      </c>
      <c r="P34" s="72">
        <f>'Gas Gross'!O34</f>
        <v>0</v>
      </c>
      <c r="Q34" s="72">
        <f t="shared" si="0"/>
        <v>0</v>
      </c>
      <c r="R34" s="73">
        <f t="shared" si="1"/>
        <v>0</v>
      </c>
      <c r="S34" s="12"/>
      <c r="U34" s="5"/>
    </row>
    <row r="35" spans="1:21" s="2" customFormat="1" hidden="1" x14ac:dyDescent="0.4">
      <c r="A35" s="1" t="str">
        <f>IF('Gas Gross'!A35="","",'Gas Gross'!A35)</f>
        <v/>
      </c>
      <c r="B35" s="1" t="str">
        <f>IF('Gas Gross'!B35="","",'Gas Gross'!B35)</f>
        <v/>
      </c>
      <c r="C35" s="1"/>
      <c r="D35" s="58" t="str">
        <f>IF('Gas Gross'!C35="","",'Gas Gross'!C35)</f>
        <v/>
      </c>
      <c r="E35" s="23" t="str">
        <f>IF('Gas Gross'!D35="","",'Gas Gross'!D35)</f>
        <v/>
      </c>
      <c r="F35" s="25" t="str">
        <f>IF('Gas Gross'!E35="","",'Gas Gross'!E35)</f>
        <v/>
      </c>
      <c r="G35" s="23">
        <f>IFERROR(VLOOKUP(A35,Net!$A:$D,3,0),0)</f>
        <v>0</v>
      </c>
      <c r="H35" s="25"/>
      <c r="I35" s="25">
        <f t="shared" si="2"/>
        <v>0</v>
      </c>
      <c r="J35" s="73">
        <f t="shared" si="3"/>
        <v>0</v>
      </c>
      <c r="K35" s="25">
        <f>IFERROR(VLOOKUP(A35,Net!$A:$D,4,0),0)</f>
        <v>0</v>
      </c>
      <c r="L35" s="25"/>
      <c r="M35" s="25">
        <f t="shared" si="4"/>
        <v>0</v>
      </c>
      <c r="N35" s="73">
        <f t="shared" si="5"/>
        <v>0</v>
      </c>
      <c r="O35" s="72">
        <f>'Gas Gross'!N35</f>
        <v>0</v>
      </c>
      <c r="P35" s="72">
        <f>'Gas Gross'!O35</f>
        <v>0</v>
      </c>
      <c r="Q35" s="72">
        <f t="shared" si="0"/>
        <v>0</v>
      </c>
      <c r="R35" s="73">
        <f t="shared" si="1"/>
        <v>0</v>
      </c>
      <c r="S35" s="12"/>
      <c r="U35" s="5"/>
    </row>
    <row r="36" spans="1:21" s="2" customFormat="1" hidden="1" x14ac:dyDescent="0.4">
      <c r="A36" s="1" t="str">
        <f>IF('Gas Gross'!A36="","",'Gas Gross'!A36)</f>
        <v/>
      </c>
      <c r="B36" s="1" t="str">
        <f>IF('Gas Gross'!B36="","",'Gas Gross'!B36)</f>
        <v/>
      </c>
      <c r="C36" s="1"/>
      <c r="D36" s="58" t="str">
        <f>IF('Gas Gross'!C36="","",'Gas Gross'!C36)</f>
        <v/>
      </c>
      <c r="E36" s="23" t="str">
        <f>IF('Gas Gross'!D36="","",'Gas Gross'!D36)</f>
        <v/>
      </c>
      <c r="F36" s="25" t="str">
        <f>IF('Gas Gross'!E36="","",'Gas Gross'!E36)</f>
        <v/>
      </c>
      <c r="G36" s="23">
        <f>IFERROR(VLOOKUP(A36,Net!$A:$D,3,0),0)</f>
        <v>0</v>
      </c>
      <c r="H36" s="25"/>
      <c r="I36" s="25">
        <f t="shared" si="2"/>
        <v>0</v>
      </c>
      <c r="J36" s="73">
        <f t="shared" si="3"/>
        <v>0</v>
      </c>
      <c r="K36" s="25">
        <f>IFERROR(VLOOKUP(A36,Net!$A:$D,4,0),0)</f>
        <v>0</v>
      </c>
      <c r="L36" s="25"/>
      <c r="M36" s="25">
        <f t="shared" si="4"/>
        <v>0</v>
      </c>
      <c r="N36" s="73">
        <f t="shared" si="5"/>
        <v>0</v>
      </c>
      <c r="O36" s="72">
        <f>'Gas Gross'!N36</f>
        <v>0</v>
      </c>
      <c r="P36" s="72">
        <f>'Gas Gross'!O36</f>
        <v>0</v>
      </c>
      <c r="Q36" s="72">
        <f t="shared" si="0"/>
        <v>0</v>
      </c>
      <c r="R36" s="73">
        <f t="shared" si="1"/>
        <v>0</v>
      </c>
      <c r="S36" s="12"/>
      <c r="U36" s="5"/>
    </row>
    <row r="37" spans="1:21" s="2" customFormat="1" hidden="1" x14ac:dyDescent="0.4">
      <c r="A37" s="1" t="str">
        <f>IF('Gas Gross'!A37="","",'Gas Gross'!A37)</f>
        <v/>
      </c>
      <c r="B37" s="1" t="str">
        <f>IF('Gas Gross'!B37="","",'Gas Gross'!B37)</f>
        <v/>
      </c>
      <c r="C37" s="1"/>
      <c r="D37" s="58" t="str">
        <f>IF('Gas Gross'!C37="","",'Gas Gross'!C37)</f>
        <v/>
      </c>
      <c r="E37" s="23" t="str">
        <f>IF('Gas Gross'!D37="","",'Gas Gross'!D37)</f>
        <v/>
      </c>
      <c r="F37" s="25" t="str">
        <f>IF('Gas Gross'!E37="","",'Gas Gross'!E37)</f>
        <v/>
      </c>
      <c r="G37" s="23">
        <f>IFERROR(VLOOKUP(A37,Net!$A:$D,3,0),0)</f>
        <v>0</v>
      </c>
      <c r="H37" s="25"/>
      <c r="I37" s="25">
        <f t="shared" si="2"/>
        <v>0</v>
      </c>
      <c r="J37" s="73">
        <f t="shared" si="3"/>
        <v>0</v>
      </c>
      <c r="K37" s="25">
        <f>IFERROR(VLOOKUP(A37,Net!$A:$D,4,0),0)</f>
        <v>0</v>
      </c>
      <c r="L37" s="25"/>
      <c r="M37" s="25">
        <f t="shared" si="4"/>
        <v>0</v>
      </c>
      <c r="N37" s="73">
        <f t="shared" si="5"/>
        <v>0</v>
      </c>
      <c r="O37" s="72">
        <f>'Gas Gross'!N37</f>
        <v>0</v>
      </c>
      <c r="P37" s="72">
        <f>'Gas Gross'!O37</f>
        <v>0</v>
      </c>
      <c r="Q37" s="72">
        <f t="shared" si="0"/>
        <v>0</v>
      </c>
      <c r="R37" s="73">
        <f t="shared" si="1"/>
        <v>0</v>
      </c>
      <c r="S37" s="12"/>
      <c r="U37" s="5"/>
    </row>
    <row r="38" spans="1:21" s="2" customFormat="1" hidden="1" x14ac:dyDescent="0.4">
      <c r="A38" s="1" t="str">
        <f>IF('Gas Gross'!A38="","",'Gas Gross'!A38)</f>
        <v/>
      </c>
      <c r="B38" s="1" t="str">
        <f>IF('Gas Gross'!B38="","",'Gas Gross'!B38)</f>
        <v/>
      </c>
      <c r="C38" s="1"/>
      <c r="D38" s="58" t="str">
        <f>IF('Gas Gross'!C38="","",'Gas Gross'!C38)</f>
        <v/>
      </c>
      <c r="E38" s="23" t="str">
        <f>IF('Gas Gross'!D38="","",'Gas Gross'!D38)</f>
        <v/>
      </c>
      <c r="F38" s="25" t="str">
        <f>IF('Gas Gross'!E38="","",'Gas Gross'!E38)</f>
        <v/>
      </c>
      <c r="G38" s="23">
        <f>IFERROR(VLOOKUP(A38,Net!$A:$D,3,0),0)</f>
        <v>0</v>
      </c>
      <c r="H38" s="25"/>
      <c r="I38" s="25">
        <f t="shared" si="2"/>
        <v>0</v>
      </c>
      <c r="J38" s="73">
        <f t="shared" si="3"/>
        <v>0</v>
      </c>
      <c r="K38" s="25">
        <f>IFERROR(VLOOKUP(A38,Net!$A:$D,4,0),0)</f>
        <v>0</v>
      </c>
      <c r="L38" s="25"/>
      <c r="M38" s="25">
        <f t="shared" si="4"/>
        <v>0</v>
      </c>
      <c r="N38" s="73">
        <f t="shared" si="5"/>
        <v>0</v>
      </c>
      <c r="O38" s="72">
        <f>'Gas Gross'!N38</f>
        <v>0</v>
      </c>
      <c r="P38" s="72">
        <f>'Gas Gross'!O38</f>
        <v>0</v>
      </c>
      <c r="Q38" s="72">
        <f t="shared" si="0"/>
        <v>0</v>
      </c>
      <c r="R38" s="73">
        <f t="shared" si="1"/>
        <v>0</v>
      </c>
      <c r="S38" s="12"/>
      <c r="U38" s="5"/>
    </row>
    <row r="39" spans="1:21" s="2" customFormat="1" hidden="1" x14ac:dyDescent="0.4">
      <c r="A39" s="1" t="str">
        <f>IF('Gas Gross'!A39="","",'Gas Gross'!A39)</f>
        <v/>
      </c>
      <c r="B39" s="1" t="str">
        <f>IF('Gas Gross'!B39="","",'Gas Gross'!B39)</f>
        <v/>
      </c>
      <c r="C39" s="1"/>
      <c r="D39" s="58" t="str">
        <f>IF('Gas Gross'!C39="","",'Gas Gross'!C39)</f>
        <v/>
      </c>
      <c r="E39" s="23" t="str">
        <f>IF('Gas Gross'!D39="","",'Gas Gross'!D39)</f>
        <v/>
      </c>
      <c r="F39" s="25" t="str">
        <f>IF('Gas Gross'!E39="","",'Gas Gross'!E39)</f>
        <v/>
      </c>
      <c r="G39" s="23">
        <f>IFERROR(VLOOKUP(A39,Net!$A:$D,3,0),0)</f>
        <v>0</v>
      </c>
      <c r="H39" s="25"/>
      <c r="I39" s="25">
        <f t="shared" si="2"/>
        <v>0</v>
      </c>
      <c r="J39" s="73">
        <f t="shared" si="3"/>
        <v>0</v>
      </c>
      <c r="K39" s="25">
        <f>IFERROR(VLOOKUP(A39,Net!$A:$D,4,0),0)</f>
        <v>0</v>
      </c>
      <c r="L39" s="25"/>
      <c r="M39" s="25">
        <f t="shared" si="4"/>
        <v>0</v>
      </c>
      <c r="N39" s="73">
        <f t="shared" si="5"/>
        <v>0</v>
      </c>
      <c r="O39" s="72">
        <f>'Gas Gross'!N39</f>
        <v>0</v>
      </c>
      <c r="P39" s="72">
        <f>'Gas Gross'!O39</f>
        <v>0</v>
      </c>
      <c r="Q39" s="72">
        <f t="shared" si="0"/>
        <v>0</v>
      </c>
      <c r="R39" s="73">
        <f t="shared" si="1"/>
        <v>0</v>
      </c>
      <c r="S39" s="12"/>
      <c r="U39" s="5"/>
    </row>
    <row r="40" spans="1:21" s="2" customFormat="1" hidden="1" x14ac:dyDescent="0.4">
      <c r="A40" s="1" t="str">
        <f>IF('Gas Gross'!A40="","",'Gas Gross'!A40)</f>
        <v/>
      </c>
      <c r="B40" s="1" t="str">
        <f>IF('Gas Gross'!B40="","",'Gas Gross'!B40)</f>
        <v/>
      </c>
      <c r="C40" s="1"/>
      <c r="D40" s="58" t="str">
        <f>IF('Gas Gross'!C40="","",'Gas Gross'!C40)</f>
        <v/>
      </c>
      <c r="E40" s="23" t="str">
        <f>IF('Gas Gross'!D40="","",'Gas Gross'!D40)</f>
        <v/>
      </c>
      <c r="F40" s="25" t="str">
        <f>IF('Gas Gross'!E40="","",'Gas Gross'!E40)</f>
        <v/>
      </c>
      <c r="G40" s="23">
        <f>IFERROR(VLOOKUP(A40,Net!$A:$D,3,0),0)</f>
        <v>0</v>
      </c>
      <c r="H40" s="25"/>
      <c r="I40" s="25">
        <f t="shared" si="2"/>
        <v>0</v>
      </c>
      <c r="J40" s="73">
        <f t="shared" si="3"/>
        <v>0</v>
      </c>
      <c r="K40" s="25">
        <f>IFERROR(VLOOKUP(A40,Net!$A:$D,4,0),0)</f>
        <v>0</v>
      </c>
      <c r="L40" s="25"/>
      <c r="M40" s="25">
        <f t="shared" si="4"/>
        <v>0</v>
      </c>
      <c r="N40" s="73">
        <f t="shared" si="5"/>
        <v>0</v>
      </c>
      <c r="O40" s="72">
        <f>'Gas Gross'!N40</f>
        <v>0</v>
      </c>
      <c r="P40" s="72">
        <f>'Gas Gross'!O40</f>
        <v>0</v>
      </c>
      <c r="Q40" s="72">
        <f t="shared" si="0"/>
        <v>0</v>
      </c>
      <c r="R40" s="73">
        <f t="shared" si="1"/>
        <v>0</v>
      </c>
      <c r="S40" s="12"/>
      <c r="U40" s="5"/>
    </row>
    <row r="41" spans="1:21" s="2" customFormat="1" hidden="1" x14ac:dyDescent="0.4">
      <c r="A41" s="1" t="str">
        <f>IF('Gas Gross'!A41="","",'Gas Gross'!A41)</f>
        <v/>
      </c>
      <c r="B41" s="1" t="str">
        <f>IF('Gas Gross'!B41="","",'Gas Gross'!B41)</f>
        <v/>
      </c>
      <c r="C41" s="1"/>
      <c r="D41" s="58" t="str">
        <f>IF('Gas Gross'!C41="","",'Gas Gross'!C41)</f>
        <v/>
      </c>
      <c r="E41" s="23" t="str">
        <f>IF('Gas Gross'!D41="","",'Gas Gross'!D41)</f>
        <v/>
      </c>
      <c r="F41" s="25" t="str">
        <f>IF('Gas Gross'!E41="","",'Gas Gross'!E41)</f>
        <v/>
      </c>
      <c r="G41" s="23">
        <f>IFERROR(VLOOKUP(A41,Net!$A:$D,3,0),0)</f>
        <v>0</v>
      </c>
      <c r="H41" s="25"/>
      <c r="I41" s="25">
        <f t="shared" si="2"/>
        <v>0</v>
      </c>
      <c r="J41" s="73">
        <f t="shared" si="3"/>
        <v>0</v>
      </c>
      <c r="K41" s="25">
        <f>IFERROR(VLOOKUP(A41,Net!$A:$D,4,0),0)</f>
        <v>0</v>
      </c>
      <c r="L41" s="25"/>
      <c r="M41" s="25">
        <f t="shared" si="4"/>
        <v>0</v>
      </c>
      <c r="N41" s="73">
        <f t="shared" si="5"/>
        <v>0</v>
      </c>
      <c r="O41" s="72">
        <f>'Gas Gross'!N41</f>
        <v>0</v>
      </c>
      <c r="P41" s="72">
        <f>'Gas Gross'!O41</f>
        <v>0</v>
      </c>
      <c r="Q41" s="72">
        <f t="shared" si="0"/>
        <v>0</v>
      </c>
      <c r="R41" s="73">
        <f t="shared" si="1"/>
        <v>0</v>
      </c>
      <c r="S41" s="12"/>
      <c r="U41" s="5"/>
    </row>
    <row r="42" spans="1:21" s="2" customFormat="1" hidden="1" x14ac:dyDescent="0.4">
      <c r="A42" s="1" t="str">
        <f>IF('Gas Gross'!A42="","",'Gas Gross'!A42)</f>
        <v/>
      </c>
      <c r="B42" s="1" t="str">
        <f>IF('Gas Gross'!B42="","",'Gas Gross'!B42)</f>
        <v/>
      </c>
      <c r="C42" s="1"/>
      <c r="D42" s="58" t="str">
        <f>IF('Gas Gross'!C42="","",'Gas Gross'!C42)</f>
        <v/>
      </c>
      <c r="E42" s="23" t="str">
        <f>IF('Gas Gross'!D42="","",'Gas Gross'!D42)</f>
        <v/>
      </c>
      <c r="F42" s="25" t="str">
        <f>IF('Gas Gross'!E42="","",'Gas Gross'!E42)</f>
        <v/>
      </c>
      <c r="G42" s="23">
        <f>IFERROR(VLOOKUP(A42,Net!$A:$D,3,0),0)</f>
        <v>0</v>
      </c>
      <c r="H42" s="25"/>
      <c r="I42" s="25">
        <f t="shared" si="2"/>
        <v>0</v>
      </c>
      <c r="J42" s="73">
        <f t="shared" si="3"/>
        <v>0</v>
      </c>
      <c r="K42" s="25">
        <f>IFERROR(VLOOKUP(A42,Net!$A:$D,4,0),0)</f>
        <v>0</v>
      </c>
      <c r="L42" s="25"/>
      <c r="M42" s="25">
        <f t="shared" si="4"/>
        <v>0</v>
      </c>
      <c r="N42" s="73">
        <f t="shared" si="5"/>
        <v>0</v>
      </c>
      <c r="O42" s="72">
        <f>'Gas Gross'!N42</f>
        <v>0</v>
      </c>
      <c r="P42" s="72">
        <f>'Gas Gross'!O42</f>
        <v>0</v>
      </c>
      <c r="Q42" s="72">
        <f t="shared" si="0"/>
        <v>0</v>
      </c>
      <c r="R42" s="73">
        <f t="shared" si="1"/>
        <v>0</v>
      </c>
      <c r="S42" s="12"/>
      <c r="U42" s="5"/>
    </row>
    <row r="43" spans="1:21" s="2" customFormat="1" hidden="1" x14ac:dyDescent="0.4">
      <c r="A43" s="1" t="str">
        <f>IF('Gas Gross'!A43="","",'Gas Gross'!A43)</f>
        <v/>
      </c>
      <c r="B43" s="1" t="str">
        <f>IF('Gas Gross'!B43="","",'Gas Gross'!B43)</f>
        <v/>
      </c>
      <c r="C43" s="1"/>
      <c r="D43" s="58" t="str">
        <f>IF('Gas Gross'!C43="","",'Gas Gross'!C43)</f>
        <v/>
      </c>
      <c r="E43" s="23" t="str">
        <f>IF('Gas Gross'!D43="","",'Gas Gross'!D43)</f>
        <v/>
      </c>
      <c r="F43" s="25" t="str">
        <f>IF('Gas Gross'!E43="","",'Gas Gross'!E43)</f>
        <v/>
      </c>
      <c r="G43" s="23">
        <f>IFERROR(VLOOKUP(A43,Net!$A:$D,3,0),0)</f>
        <v>0</v>
      </c>
      <c r="H43" s="25"/>
      <c r="I43" s="25">
        <f t="shared" si="2"/>
        <v>0</v>
      </c>
      <c r="J43" s="73">
        <f t="shared" si="3"/>
        <v>0</v>
      </c>
      <c r="K43" s="25">
        <f>IFERROR(VLOOKUP(A43,Net!$A:$D,4,0),0)</f>
        <v>0</v>
      </c>
      <c r="L43" s="25"/>
      <c r="M43" s="25">
        <f t="shared" si="4"/>
        <v>0</v>
      </c>
      <c r="N43" s="73">
        <f t="shared" si="5"/>
        <v>0</v>
      </c>
      <c r="O43" s="72">
        <f>'Gas Gross'!N43</f>
        <v>0</v>
      </c>
      <c r="P43" s="72">
        <f>'Gas Gross'!O43</f>
        <v>0</v>
      </c>
      <c r="Q43" s="72">
        <f t="shared" si="0"/>
        <v>0</v>
      </c>
      <c r="R43" s="73">
        <f t="shared" si="1"/>
        <v>0</v>
      </c>
      <c r="S43" s="12"/>
      <c r="U43" s="5"/>
    </row>
    <row r="44" spans="1:21" s="2" customFormat="1" hidden="1" x14ac:dyDescent="0.4">
      <c r="A44" s="1" t="str">
        <f>IF('Gas Gross'!A44="","",'Gas Gross'!A44)</f>
        <v/>
      </c>
      <c r="B44" s="1" t="str">
        <f>IF('Gas Gross'!B44="","",'Gas Gross'!B44)</f>
        <v/>
      </c>
      <c r="C44" s="1"/>
      <c r="D44" s="58" t="str">
        <f>IF('Gas Gross'!C44="","",'Gas Gross'!C44)</f>
        <v/>
      </c>
      <c r="E44" s="23" t="str">
        <f>IF('Gas Gross'!D44="","",'Gas Gross'!D44)</f>
        <v/>
      </c>
      <c r="F44" s="25" t="str">
        <f>IF('Gas Gross'!E44="","",'Gas Gross'!E44)</f>
        <v/>
      </c>
      <c r="G44" s="23">
        <f>IFERROR(VLOOKUP(A44,Net!$A:$D,3,0),0)</f>
        <v>0</v>
      </c>
      <c r="H44" s="25"/>
      <c r="I44" s="25">
        <f t="shared" si="2"/>
        <v>0</v>
      </c>
      <c r="J44" s="73">
        <f t="shared" si="3"/>
        <v>0</v>
      </c>
      <c r="K44" s="25">
        <f>IFERROR(VLOOKUP(A44,Net!$A:$D,4,0),0)</f>
        <v>0</v>
      </c>
      <c r="L44" s="25"/>
      <c r="M44" s="25">
        <f t="shared" si="4"/>
        <v>0</v>
      </c>
      <c r="N44" s="73">
        <f t="shared" si="5"/>
        <v>0</v>
      </c>
      <c r="O44" s="72">
        <f>'Gas Gross'!N44</f>
        <v>0</v>
      </c>
      <c r="P44" s="72">
        <f>'Gas Gross'!O44</f>
        <v>0</v>
      </c>
      <c r="Q44" s="72">
        <f t="shared" si="0"/>
        <v>0</v>
      </c>
      <c r="R44" s="73">
        <f t="shared" si="1"/>
        <v>0</v>
      </c>
      <c r="S44" s="12"/>
      <c r="U44" s="5"/>
    </row>
    <row r="45" spans="1:21" s="2" customFormat="1" hidden="1" x14ac:dyDescent="0.4">
      <c r="A45" s="1" t="str">
        <f>IF('Gas Gross'!A45="","",'Gas Gross'!A45)</f>
        <v/>
      </c>
      <c r="B45" s="1" t="str">
        <f>IF('Gas Gross'!B45="","",'Gas Gross'!B45)</f>
        <v/>
      </c>
      <c r="C45" s="1"/>
      <c r="D45" s="58" t="str">
        <f>IF('Gas Gross'!C45="","",'Gas Gross'!C45)</f>
        <v/>
      </c>
      <c r="E45" s="23" t="str">
        <f>IF('Gas Gross'!D45="","",'Gas Gross'!D45)</f>
        <v/>
      </c>
      <c r="F45" s="25" t="str">
        <f>IF('Gas Gross'!E45="","",'Gas Gross'!E45)</f>
        <v/>
      </c>
      <c r="G45" s="23">
        <f>IFERROR(VLOOKUP(A45,Net!$A:$D,3,0),0)</f>
        <v>0</v>
      </c>
      <c r="H45" s="25"/>
      <c r="I45" s="25">
        <f t="shared" si="2"/>
        <v>0</v>
      </c>
      <c r="J45" s="73">
        <f t="shared" si="3"/>
        <v>0</v>
      </c>
      <c r="K45" s="25">
        <f>IFERROR(VLOOKUP(A45,Net!$A:$D,4,0),0)</f>
        <v>0</v>
      </c>
      <c r="L45" s="25"/>
      <c r="M45" s="25">
        <f t="shared" si="4"/>
        <v>0</v>
      </c>
      <c r="N45" s="73">
        <f t="shared" si="5"/>
        <v>0</v>
      </c>
      <c r="O45" s="72">
        <f>'Gas Gross'!N45</f>
        <v>0</v>
      </c>
      <c r="P45" s="72">
        <f>'Gas Gross'!O45</f>
        <v>0</v>
      </c>
      <c r="Q45" s="72">
        <f t="shared" si="0"/>
        <v>0</v>
      </c>
      <c r="R45" s="73">
        <f t="shared" si="1"/>
        <v>0</v>
      </c>
      <c r="S45" s="12"/>
      <c r="U45" s="5"/>
    </row>
    <row r="46" spans="1:21" s="2" customFormat="1" hidden="1" x14ac:dyDescent="0.4">
      <c r="A46" s="1" t="str">
        <f>IF('Gas Gross'!A46="","",'Gas Gross'!A46)</f>
        <v/>
      </c>
      <c r="B46" s="1" t="str">
        <f>IF('Gas Gross'!B46="","",'Gas Gross'!B46)</f>
        <v/>
      </c>
      <c r="C46" s="1"/>
      <c r="D46" s="58" t="str">
        <f>IF('Gas Gross'!C46="","",'Gas Gross'!C46)</f>
        <v/>
      </c>
      <c r="E46" s="23" t="str">
        <f>IF('Gas Gross'!D46="","",'Gas Gross'!D46)</f>
        <v/>
      </c>
      <c r="F46" s="25" t="str">
        <f>IF('Gas Gross'!E46="","",'Gas Gross'!E46)</f>
        <v/>
      </c>
      <c r="G46" s="23">
        <f>IFERROR(VLOOKUP(A46,Net!$A:$D,3,0),0)</f>
        <v>0</v>
      </c>
      <c r="H46" s="25"/>
      <c r="I46" s="25">
        <f t="shared" si="2"/>
        <v>0</v>
      </c>
      <c r="J46" s="73">
        <f t="shared" si="3"/>
        <v>0</v>
      </c>
      <c r="K46" s="25">
        <f>IFERROR(VLOOKUP(A46,Net!$A:$D,4,0),0)</f>
        <v>0</v>
      </c>
      <c r="L46" s="25"/>
      <c r="M46" s="25">
        <f t="shared" si="4"/>
        <v>0</v>
      </c>
      <c r="N46" s="73">
        <f t="shared" si="5"/>
        <v>0</v>
      </c>
      <c r="O46" s="72">
        <f>'Gas Gross'!N46</f>
        <v>0</v>
      </c>
      <c r="P46" s="72">
        <f>'Gas Gross'!O46</f>
        <v>0</v>
      </c>
      <c r="Q46" s="72">
        <f t="shared" si="0"/>
        <v>0</v>
      </c>
      <c r="R46" s="73">
        <f t="shared" si="1"/>
        <v>0</v>
      </c>
      <c r="S46" s="12"/>
      <c r="U46" s="5"/>
    </row>
    <row r="47" spans="1:21" s="2" customFormat="1" hidden="1" x14ac:dyDescent="0.4">
      <c r="A47" s="1" t="str">
        <f>IF('Gas Gross'!A47="","",'Gas Gross'!A47)</f>
        <v/>
      </c>
      <c r="B47" s="1" t="str">
        <f>IF('Gas Gross'!B47="","",'Gas Gross'!B47)</f>
        <v/>
      </c>
      <c r="C47" s="1"/>
      <c r="D47" s="58" t="str">
        <f>IF('Gas Gross'!C47="","",'Gas Gross'!C47)</f>
        <v/>
      </c>
      <c r="E47" s="23" t="str">
        <f>IF('Gas Gross'!D47="","",'Gas Gross'!D47)</f>
        <v/>
      </c>
      <c r="F47" s="25" t="str">
        <f>IF('Gas Gross'!E47="","",'Gas Gross'!E47)</f>
        <v/>
      </c>
      <c r="G47" s="23">
        <f>IFERROR(VLOOKUP(A47,Net!$A:$D,3,0),0)</f>
        <v>0</v>
      </c>
      <c r="H47" s="25"/>
      <c r="I47" s="25">
        <f t="shared" si="2"/>
        <v>0</v>
      </c>
      <c r="J47" s="73">
        <f t="shared" si="3"/>
        <v>0</v>
      </c>
      <c r="K47" s="25">
        <f>IFERROR(VLOOKUP(A47,Net!$A:$D,4,0),0)</f>
        <v>0</v>
      </c>
      <c r="L47" s="25"/>
      <c r="M47" s="25">
        <f t="shared" si="4"/>
        <v>0</v>
      </c>
      <c r="N47" s="73">
        <f t="shared" si="5"/>
        <v>0</v>
      </c>
      <c r="O47" s="72">
        <f>'Gas Gross'!N47</f>
        <v>0</v>
      </c>
      <c r="P47" s="72">
        <f>'Gas Gross'!O47</f>
        <v>0</v>
      </c>
      <c r="Q47" s="72">
        <f t="shared" si="0"/>
        <v>0</v>
      </c>
      <c r="R47" s="73">
        <f t="shared" si="1"/>
        <v>0</v>
      </c>
      <c r="S47" s="12"/>
      <c r="U47" s="5"/>
    </row>
    <row r="48" spans="1:21" s="2" customFormat="1" hidden="1" x14ac:dyDescent="0.4">
      <c r="A48" s="1" t="str">
        <f>IF('Gas Gross'!A48="","",'Gas Gross'!A48)</f>
        <v/>
      </c>
      <c r="B48" s="1" t="str">
        <f>IF('Gas Gross'!B48="","",'Gas Gross'!B48)</f>
        <v/>
      </c>
      <c r="C48" s="1"/>
      <c r="D48" s="58" t="str">
        <f>IF('Gas Gross'!C48="","",'Gas Gross'!C48)</f>
        <v/>
      </c>
      <c r="E48" s="23" t="str">
        <f>IF('Gas Gross'!D48="","",'Gas Gross'!D48)</f>
        <v/>
      </c>
      <c r="F48" s="25" t="str">
        <f>IF('Gas Gross'!E48="","",'Gas Gross'!E48)</f>
        <v/>
      </c>
      <c r="G48" s="23">
        <f>IFERROR(VLOOKUP(A48,Net!$A:$D,3,0),0)</f>
        <v>0</v>
      </c>
      <c r="H48" s="25"/>
      <c r="I48" s="25">
        <f t="shared" si="2"/>
        <v>0</v>
      </c>
      <c r="J48" s="73">
        <f t="shared" si="3"/>
        <v>0</v>
      </c>
      <c r="K48" s="25">
        <f>IFERROR(VLOOKUP(A48,Net!$A:$D,4,0),0)</f>
        <v>0</v>
      </c>
      <c r="L48" s="25"/>
      <c r="M48" s="25">
        <f t="shared" si="4"/>
        <v>0</v>
      </c>
      <c r="N48" s="73">
        <f t="shared" si="5"/>
        <v>0</v>
      </c>
      <c r="O48" s="72">
        <f>'Gas Gross'!N48</f>
        <v>0</v>
      </c>
      <c r="P48" s="72">
        <f>'Gas Gross'!O48</f>
        <v>0</v>
      </c>
      <c r="Q48" s="72">
        <f t="shared" si="0"/>
        <v>0</v>
      </c>
      <c r="R48" s="73">
        <f t="shared" si="1"/>
        <v>0</v>
      </c>
      <c r="S48" s="12"/>
      <c r="U48" s="5"/>
    </row>
    <row r="49" spans="1:21" s="2" customFormat="1" hidden="1" x14ac:dyDescent="0.4">
      <c r="A49" s="1" t="str">
        <f>IF('Gas Gross'!A49="","",'Gas Gross'!A49)</f>
        <v/>
      </c>
      <c r="B49" s="1" t="str">
        <f>IF('Gas Gross'!B49="","",'Gas Gross'!B49)</f>
        <v/>
      </c>
      <c r="C49" s="1"/>
      <c r="D49" s="58" t="str">
        <f>IF('Gas Gross'!C49="","",'Gas Gross'!C49)</f>
        <v/>
      </c>
      <c r="E49" s="23" t="str">
        <f>IF('Gas Gross'!D49="","",'Gas Gross'!D49)</f>
        <v/>
      </c>
      <c r="F49" s="25" t="str">
        <f>IF('Gas Gross'!E49="","",'Gas Gross'!E49)</f>
        <v/>
      </c>
      <c r="G49" s="23">
        <f>IFERROR(VLOOKUP(A49,Net!$A:$D,3,0),0)</f>
        <v>0</v>
      </c>
      <c r="H49" s="25"/>
      <c r="I49" s="25">
        <f t="shared" si="2"/>
        <v>0</v>
      </c>
      <c r="J49" s="73">
        <f t="shared" si="3"/>
        <v>0</v>
      </c>
      <c r="K49" s="25">
        <f>IFERROR(VLOOKUP(A49,Net!$A:$D,4,0),0)</f>
        <v>0</v>
      </c>
      <c r="L49" s="25"/>
      <c r="M49" s="25">
        <f t="shared" si="4"/>
        <v>0</v>
      </c>
      <c r="N49" s="73">
        <f t="shared" si="5"/>
        <v>0</v>
      </c>
      <c r="O49" s="72">
        <f>'Gas Gross'!N49</f>
        <v>0</v>
      </c>
      <c r="P49" s="72">
        <f>'Gas Gross'!O49</f>
        <v>0</v>
      </c>
      <c r="Q49" s="72">
        <f t="shared" si="0"/>
        <v>0</v>
      </c>
      <c r="R49" s="73">
        <f t="shared" si="1"/>
        <v>0</v>
      </c>
      <c r="S49" s="12"/>
      <c r="U49" s="5"/>
    </row>
    <row r="50" spans="1:21" s="2" customFormat="1" hidden="1" x14ac:dyDescent="0.4">
      <c r="A50" s="1" t="str">
        <f>IF('Gas Gross'!A50="","",'Gas Gross'!A50)</f>
        <v/>
      </c>
      <c r="B50" s="1" t="str">
        <f>IF('Gas Gross'!B50="","",'Gas Gross'!B50)</f>
        <v/>
      </c>
      <c r="C50" s="1"/>
      <c r="D50" s="58" t="str">
        <f>IF('Gas Gross'!C50="","",'Gas Gross'!C50)</f>
        <v/>
      </c>
      <c r="E50" s="23" t="str">
        <f>IF('Gas Gross'!D50="","",'Gas Gross'!D50)</f>
        <v/>
      </c>
      <c r="F50" s="25" t="str">
        <f>IF('Gas Gross'!E50="","",'Gas Gross'!E50)</f>
        <v/>
      </c>
      <c r="G50" s="23">
        <f>IFERROR(VLOOKUP(A50,Net!$A:$D,3,0),0)</f>
        <v>0</v>
      </c>
      <c r="H50" s="25"/>
      <c r="I50" s="25">
        <f t="shared" si="2"/>
        <v>0</v>
      </c>
      <c r="J50" s="73">
        <f t="shared" si="3"/>
        <v>0</v>
      </c>
      <c r="K50" s="25">
        <f>IFERROR(VLOOKUP(A50,Net!$A:$D,4,0),0)</f>
        <v>0</v>
      </c>
      <c r="L50" s="25"/>
      <c r="M50" s="25">
        <f t="shared" si="4"/>
        <v>0</v>
      </c>
      <c r="N50" s="73">
        <f t="shared" si="5"/>
        <v>0</v>
      </c>
      <c r="O50" s="72">
        <f>'Gas Gross'!N50</f>
        <v>0</v>
      </c>
      <c r="P50" s="72">
        <f>'Gas Gross'!O50</f>
        <v>0</v>
      </c>
      <c r="Q50" s="72">
        <f t="shared" si="0"/>
        <v>0</v>
      </c>
      <c r="R50" s="73">
        <f t="shared" si="1"/>
        <v>0</v>
      </c>
      <c r="S50" s="12"/>
      <c r="U50" s="5"/>
    </row>
    <row r="51" spans="1:21" s="2" customFormat="1" hidden="1" x14ac:dyDescent="0.4">
      <c r="A51" s="1" t="str">
        <f>IF('Gas Gross'!A51="","",'Gas Gross'!A51)</f>
        <v/>
      </c>
      <c r="B51" s="1" t="str">
        <f>IF('Gas Gross'!B51="","",'Gas Gross'!B51)</f>
        <v/>
      </c>
      <c r="C51" s="1"/>
      <c r="D51" s="58" t="str">
        <f>IF('Gas Gross'!C51="","",'Gas Gross'!C51)</f>
        <v/>
      </c>
      <c r="E51" s="23" t="str">
        <f>IF('Gas Gross'!D51="","",'Gas Gross'!D51)</f>
        <v/>
      </c>
      <c r="F51" s="25" t="str">
        <f>IF('Gas Gross'!E51="","",'Gas Gross'!E51)</f>
        <v/>
      </c>
      <c r="G51" s="23">
        <f>IFERROR(VLOOKUP(A51,Net!$A:$D,3,0),0)</f>
        <v>0</v>
      </c>
      <c r="H51" s="25"/>
      <c r="I51" s="25">
        <f t="shared" si="2"/>
        <v>0</v>
      </c>
      <c r="J51" s="73">
        <f t="shared" si="3"/>
        <v>0</v>
      </c>
      <c r="K51" s="25">
        <f>IFERROR(VLOOKUP(A51,Net!$A:$D,4,0),0)</f>
        <v>0</v>
      </c>
      <c r="L51" s="25"/>
      <c r="M51" s="25">
        <f t="shared" si="4"/>
        <v>0</v>
      </c>
      <c r="N51" s="73">
        <f t="shared" si="5"/>
        <v>0</v>
      </c>
      <c r="O51" s="72">
        <f>'Gas Gross'!N51</f>
        <v>0</v>
      </c>
      <c r="P51" s="72">
        <f>'Gas Gross'!O51</f>
        <v>0</v>
      </c>
      <c r="Q51" s="72">
        <f t="shared" si="0"/>
        <v>0</v>
      </c>
      <c r="R51" s="73">
        <f t="shared" si="1"/>
        <v>0</v>
      </c>
      <c r="S51" s="12"/>
      <c r="U51" s="5"/>
    </row>
    <row r="52" spans="1:21" s="2" customFormat="1" hidden="1" x14ac:dyDescent="0.4">
      <c r="A52" s="1" t="str">
        <f>IF('Gas Gross'!A52="","",'Gas Gross'!A52)</f>
        <v/>
      </c>
      <c r="B52" s="1" t="str">
        <f>IF('Gas Gross'!B52="","",'Gas Gross'!B52)</f>
        <v/>
      </c>
      <c r="C52" s="1"/>
      <c r="D52" s="58" t="str">
        <f>IF('Gas Gross'!C52="","",'Gas Gross'!C52)</f>
        <v/>
      </c>
      <c r="E52" s="23" t="str">
        <f>IF('Gas Gross'!D52="","",'Gas Gross'!D52)</f>
        <v/>
      </c>
      <c r="F52" s="25" t="str">
        <f>IF('Gas Gross'!E52="","",'Gas Gross'!E52)</f>
        <v/>
      </c>
      <c r="G52" s="23">
        <f>IFERROR(VLOOKUP(A52,Net!$A:$D,3,0),0)</f>
        <v>0</v>
      </c>
      <c r="H52" s="25"/>
      <c r="I52" s="25">
        <f t="shared" si="2"/>
        <v>0</v>
      </c>
      <c r="J52" s="73">
        <f t="shared" si="3"/>
        <v>0</v>
      </c>
      <c r="K52" s="25">
        <f>IFERROR(VLOOKUP(A52,Net!$A:$D,4,0),0)</f>
        <v>0</v>
      </c>
      <c r="L52" s="25"/>
      <c r="M52" s="25">
        <f t="shared" si="4"/>
        <v>0</v>
      </c>
      <c r="N52" s="73">
        <f t="shared" si="5"/>
        <v>0</v>
      </c>
      <c r="O52" s="72">
        <f>'Gas Gross'!N52</f>
        <v>0</v>
      </c>
      <c r="P52" s="72">
        <f>'Gas Gross'!O52</f>
        <v>0</v>
      </c>
      <c r="Q52" s="72">
        <f t="shared" si="0"/>
        <v>0</v>
      </c>
      <c r="R52" s="73">
        <f t="shared" si="1"/>
        <v>0</v>
      </c>
      <c r="S52" s="12"/>
      <c r="U52" s="5"/>
    </row>
    <row r="53" spans="1:21" s="2" customFormat="1" hidden="1" x14ac:dyDescent="0.4">
      <c r="A53" s="1" t="str">
        <f>IF('Gas Gross'!A53="","",'Gas Gross'!A53)</f>
        <v/>
      </c>
      <c r="B53" s="1" t="str">
        <f>IF('Gas Gross'!B53="","",'Gas Gross'!B53)</f>
        <v/>
      </c>
      <c r="C53" s="1"/>
      <c r="D53" s="58" t="str">
        <f>IF('Gas Gross'!C53="","",'Gas Gross'!C53)</f>
        <v/>
      </c>
      <c r="E53" s="23" t="str">
        <f>IF('Gas Gross'!D53="","",'Gas Gross'!D53)</f>
        <v/>
      </c>
      <c r="F53" s="25" t="str">
        <f>IF('Gas Gross'!E53="","",'Gas Gross'!E53)</f>
        <v/>
      </c>
      <c r="G53" s="23">
        <f>IFERROR(VLOOKUP(A53,Net!$A:$D,3,0),0)</f>
        <v>0</v>
      </c>
      <c r="H53" s="25"/>
      <c r="I53" s="25">
        <f t="shared" si="2"/>
        <v>0</v>
      </c>
      <c r="J53" s="73">
        <f t="shared" si="3"/>
        <v>0</v>
      </c>
      <c r="K53" s="25">
        <f>IFERROR(VLOOKUP(A53,Net!$A:$D,4,0),0)</f>
        <v>0</v>
      </c>
      <c r="L53" s="25"/>
      <c r="M53" s="25">
        <f t="shared" si="4"/>
        <v>0</v>
      </c>
      <c r="N53" s="73">
        <f t="shared" si="5"/>
        <v>0</v>
      </c>
      <c r="O53" s="72">
        <f>'Gas Gross'!N53</f>
        <v>0</v>
      </c>
      <c r="P53" s="72">
        <f>'Gas Gross'!O53</f>
        <v>0</v>
      </c>
      <c r="Q53" s="72">
        <f t="shared" si="0"/>
        <v>0</v>
      </c>
      <c r="R53" s="73">
        <f t="shared" si="1"/>
        <v>0</v>
      </c>
      <c r="S53" s="12"/>
      <c r="U53" s="5"/>
    </row>
    <row r="54" spans="1:21" s="2" customFormat="1" hidden="1" x14ac:dyDescent="0.4">
      <c r="A54" s="1" t="str">
        <f>IF('Gas Gross'!A54="","",'Gas Gross'!A54)</f>
        <v/>
      </c>
      <c r="B54" s="1" t="str">
        <f>IF('Gas Gross'!B54="","",'Gas Gross'!B54)</f>
        <v/>
      </c>
      <c r="C54" s="1"/>
      <c r="D54" s="58" t="str">
        <f>IF('Gas Gross'!C54="","",'Gas Gross'!C54)</f>
        <v/>
      </c>
      <c r="E54" s="23" t="str">
        <f>IF('Gas Gross'!D54="","",'Gas Gross'!D54)</f>
        <v/>
      </c>
      <c r="F54" s="25" t="str">
        <f>IF('Gas Gross'!E54="","",'Gas Gross'!E54)</f>
        <v/>
      </c>
      <c r="G54" s="23">
        <f>IFERROR(VLOOKUP(A54,Net!$A:$D,3,0),0)</f>
        <v>0</v>
      </c>
      <c r="H54" s="25"/>
      <c r="I54" s="25">
        <f t="shared" si="2"/>
        <v>0</v>
      </c>
      <c r="J54" s="73">
        <f t="shared" si="3"/>
        <v>0</v>
      </c>
      <c r="K54" s="25">
        <f>IFERROR(VLOOKUP(A54,Net!$A:$D,4,0),0)</f>
        <v>0</v>
      </c>
      <c r="L54" s="25"/>
      <c r="M54" s="25">
        <f t="shared" si="4"/>
        <v>0</v>
      </c>
      <c r="N54" s="73">
        <f t="shared" si="5"/>
        <v>0</v>
      </c>
      <c r="O54" s="72">
        <f>'Gas Gross'!N54</f>
        <v>0</v>
      </c>
      <c r="P54" s="72">
        <f>'Gas Gross'!O54</f>
        <v>0</v>
      </c>
      <c r="Q54" s="72">
        <f t="shared" si="0"/>
        <v>0</v>
      </c>
      <c r="R54" s="73">
        <f t="shared" si="1"/>
        <v>0</v>
      </c>
      <c r="S54" s="12"/>
      <c r="U54" s="5"/>
    </row>
    <row r="55" spans="1:21" s="2" customFormat="1" hidden="1" x14ac:dyDescent="0.4">
      <c r="A55" s="1" t="str">
        <f>IF('Gas Gross'!A55="","",'Gas Gross'!A55)</f>
        <v/>
      </c>
      <c r="B55" s="1" t="str">
        <f>IF('Gas Gross'!B55="","",'Gas Gross'!B55)</f>
        <v/>
      </c>
      <c r="C55" s="1"/>
      <c r="D55" s="58" t="str">
        <f>IF('Gas Gross'!C55="","",'Gas Gross'!C55)</f>
        <v/>
      </c>
      <c r="E55" s="23" t="str">
        <f>IF('Gas Gross'!D55="","",'Gas Gross'!D55)</f>
        <v/>
      </c>
      <c r="F55" s="25" t="str">
        <f>IF('Gas Gross'!E55="","",'Gas Gross'!E55)</f>
        <v/>
      </c>
      <c r="G55" s="23">
        <f>IFERROR(VLOOKUP(A55,Net!$A:$D,3,0),0)</f>
        <v>0</v>
      </c>
      <c r="H55" s="25"/>
      <c r="I55" s="25">
        <f t="shared" si="2"/>
        <v>0</v>
      </c>
      <c r="J55" s="73">
        <f t="shared" si="3"/>
        <v>0</v>
      </c>
      <c r="K55" s="25">
        <f>IFERROR(VLOOKUP(A55,Net!$A:$D,4,0),0)</f>
        <v>0</v>
      </c>
      <c r="L55" s="25"/>
      <c r="M55" s="25">
        <f t="shared" si="4"/>
        <v>0</v>
      </c>
      <c r="N55" s="73">
        <f t="shared" si="5"/>
        <v>0</v>
      </c>
      <c r="O55" s="72">
        <f>'Gas Gross'!N55</f>
        <v>0</v>
      </c>
      <c r="P55" s="72">
        <f>'Gas Gross'!O55</f>
        <v>0</v>
      </c>
      <c r="Q55" s="72">
        <f t="shared" si="0"/>
        <v>0</v>
      </c>
      <c r="R55" s="73">
        <f t="shared" si="1"/>
        <v>0</v>
      </c>
      <c r="S55" s="12"/>
      <c r="U55" s="5"/>
    </row>
    <row r="56" spans="1:21" s="2" customFormat="1" hidden="1" x14ac:dyDescent="0.4">
      <c r="A56" s="1" t="str">
        <f>IF('Gas Gross'!A56="","",'Gas Gross'!A56)</f>
        <v/>
      </c>
      <c r="B56" s="1" t="str">
        <f>IF('Gas Gross'!B56="","",'Gas Gross'!B56)</f>
        <v/>
      </c>
      <c r="C56" s="1"/>
      <c r="D56" s="58" t="str">
        <f>IF('Gas Gross'!C56="","",'Gas Gross'!C56)</f>
        <v/>
      </c>
      <c r="E56" s="23" t="str">
        <f>IF('Gas Gross'!D56="","",'Gas Gross'!D56)</f>
        <v/>
      </c>
      <c r="F56" s="25" t="str">
        <f>IF('Gas Gross'!E56="","",'Gas Gross'!E56)</f>
        <v/>
      </c>
      <c r="G56" s="23">
        <f>IFERROR(VLOOKUP(A56,Net!$A:$D,3,0),0)</f>
        <v>0</v>
      </c>
      <c r="H56" s="25"/>
      <c r="I56" s="25">
        <f t="shared" si="2"/>
        <v>0</v>
      </c>
      <c r="J56" s="73">
        <f t="shared" si="3"/>
        <v>0</v>
      </c>
      <c r="K56" s="25">
        <f>IFERROR(VLOOKUP(A56,Net!$A:$D,4,0),0)</f>
        <v>0</v>
      </c>
      <c r="L56" s="25"/>
      <c r="M56" s="25">
        <f t="shared" si="4"/>
        <v>0</v>
      </c>
      <c r="N56" s="73">
        <f t="shared" si="5"/>
        <v>0</v>
      </c>
      <c r="O56" s="72">
        <f>'Gas Gross'!N56</f>
        <v>0</v>
      </c>
      <c r="P56" s="72">
        <f>'Gas Gross'!O56</f>
        <v>0</v>
      </c>
      <c r="Q56" s="72">
        <f t="shared" si="0"/>
        <v>0</v>
      </c>
      <c r="R56" s="73">
        <f t="shared" si="1"/>
        <v>0</v>
      </c>
      <c r="S56" s="12"/>
      <c r="U56" s="5"/>
    </row>
    <row r="57" spans="1:21" s="2" customFormat="1" hidden="1" x14ac:dyDescent="0.4">
      <c r="A57" s="1" t="str">
        <f>IF('Gas Gross'!A57="","",'Gas Gross'!A57)</f>
        <v/>
      </c>
      <c r="B57" s="1" t="str">
        <f>IF('Gas Gross'!B57="","",'Gas Gross'!B57)</f>
        <v/>
      </c>
      <c r="C57" s="1"/>
      <c r="D57" s="58" t="str">
        <f>IF('Gas Gross'!C57="","",'Gas Gross'!C57)</f>
        <v/>
      </c>
      <c r="E57" s="23" t="str">
        <f>IF('Gas Gross'!D57="","",'Gas Gross'!D57)</f>
        <v/>
      </c>
      <c r="F57" s="25" t="str">
        <f>IF('Gas Gross'!E57="","",'Gas Gross'!E57)</f>
        <v/>
      </c>
      <c r="G57" s="23">
        <f>IFERROR(VLOOKUP(A57,Net!$A:$D,3,0),0)</f>
        <v>0</v>
      </c>
      <c r="H57" s="25"/>
      <c r="I57" s="25">
        <f t="shared" si="2"/>
        <v>0</v>
      </c>
      <c r="J57" s="73">
        <f t="shared" si="3"/>
        <v>0</v>
      </c>
      <c r="K57" s="25">
        <f>IFERROR(VLOOKUP(A57,Net!$A:$D,4,0),0)</f>
        <v>0</v>
      </c>
      <c r="L57" s="25"/>
      <c r="M57" s="25">
        <f t="shared" si="4"/>
        <v>0</v>
      </c>
      <c r="N57" s="73">
        <f t="shared" si="5"/>
        <v>0</v>
      </c>
      <c r="O57" s="72">
        <f>'Gas Gross'!N57</f>
        <v>0</v>
      </c>
      <c r="P57" s="72">
        <f>'Gas Gross'!O57</f>
        <v>0</v>
      </c>
      <c r="Q57" s="72">
        <f t="shared" si="0"/>
        <v>0</v>
      </c>
      <c r="R57" s="73">
        <f t="shared" si="1"/>
        <v>0</v>
      </c>
      <c r="S57" s="12"/>
      <c r="U57" s="5"/>
    </row>
    <row r="58" spans="1:21" s="2" customFormat="1" hidden="1" x14ac:dyDescent="0.4">
      <c r="A58" s="1" t="str">
        <f>IF('Gas Gross'!A58="","",'Gas Gross'!A58)</f>
        <v/>
      </c>
      <c r="B58" s="1" t="str">
        <f>IF('Gas Gross'!B58="","",'Gas Gross'!B58)</f>
        <v/>
      </c>
      <c r="C58" s="1"/>
      <c r="D58" s="58" t="str">
        <f>IF('Gas Gross'!C58="","",'Gas Gross'!C58)</f>
        <v/>
      </c>
      <c r="E58" s="23" t="str">
        <f>IF('Gas Gross'!D58="","",'Gas Gross'!D58)</f>
        <v/>
      </c>
      <c r="F58" s="25" t="str">
        <f>IF('Gas Gross'!E58="","",'Gas Gross'!E58)</f>
        <v/>
      </c>
      <c r="G58" s="23">
        <f>IFERROR(VLOOKUP(A58,Net!$A:$D,3,0),0)</f>
        <v>0</v>
      </c>
      <c r="H58" s="25"/>
      <c r="I58" s="25">
        <f t="shared" si="2"/>
        <v>0</v>
      </c>
      <c r="J58" s="73">
        <f t="shared" si="3"/>
        <v>0</v>
      </c>
      <c r="K58" s="25">
        <f>IFERROR(VLOOKUP(A58,Net!$A:$D,4,0),0)</f>
        <v>0</v>
      </c>
      <c r="L58" s="25"/>
      <c r="M58" s="25">
        <f t="shared" si="4"/>
        <v>0</v>
      </c>
      <c r="N58" s="73">
        <f t="shared" si="5"/>
        <v>0</v>
      </c>
      <c r="O58" s="72">
        <f>'Gas Gross'!N58</f>
        <v>0</v>
      </c>
      <c r="P58" s="72">
        <f>'Gas Gross'!O58</f>
        <v>0</v>
      </c>
      <c r="Q58" s="72">
        <f t="shared" si="0"/>
        <v>0</v>
      </c>
      <c r="R58" s="73">
        <f t="shared" si="1"/>
        <v>0</v>
      </c>
      <c r="S58" s="12"/>
      <c r="U58" s="5"/>
    </row>
    <row r="59" spans="1:21" s="2" customFormat="1" hidden="1" x14ac:dyDescent="0.4">
      <c r="A59" s="1" t="str">
        <f>IF('Gas Gross'!A59="","",'Gas Gross'!A59)</f>
        <v/>
      </c>
      <c r="B59" s="1" t="str">
        <f>IF('Gas Gross'!B59="","",'Gas Gross'!B59)</f>
        <v/>
      </c>
      <c r="C59" s="1"/>
      <c r="D59" s="60" t="str">
        <f>IF('Gas Gross'!C59="","",'Gas Gross'!C59)</f>
        <v/>
      </c>
      <c r="E59" s="23" t="str">
        <f>IF('Gas Gross'!D59="","",'Gas Gross'!D59)</f>
        <v/>
      </c>
      <c r="F59" s="26" t="str">
        <f>IF('Gas Gross'!E59="","",'Gas Gross'!E59)</f>
        <v/>
      </c>
      <c r="G59" s="24">
        <f>IFERROR(VLOOKUP(A59,Net!$A:$D,3,0),0)</f>
        <v>0</v>
      </c>
      <c r="H59" s="26"/>
      <c r="I59" s="26">
        <f t="shared" si="2"/>
        <v>0</v>
      </c>
      <c r="J59" s="75">
        <f t="shared" si="3"/>
        <v>0</v>
      </c>
      <c r="K59" s="26">
        <f>IFERROR(VLOOKUP(A59,Net!$A:$D,4,0),0)</f>
        <v>0</v>
      </c>
      <c r="L59" s="26"/>
      <c r="M59" s="26">
        <f t="shared" si="4"/>
        <v>0</v>
      </c>
      <c r="N59" s="75">
        <f t="shared" si="5"/>
        <v>0</v>
      </c>
      <c r="O59" s="76">
        <f>'Gas Gross'!N59</f>
        <v>0</v>
      </c>
      <c r="P59" s="76">
        <f>'Gas Gross'!O59</f>
        <v>0</v>
      </c>
      <c r="Q59" s="76">
        <f t="shared" si="0"/>
        <v>0</v>
      </c>
      <c r="R59" s="75">
        <f t="shared" si="1"/>
        <v>0</v>
      </c>
      <c r="S59" s="12"/>
      <c r="T59" s="4"/>
      <c r="U59" s="3"/>
    </row>
    <row r="60" spans="1:21" s="2" customFormat="1" x14ac:dyDescent="0.4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"/>
      <c r="T60" s="4"/>
      <c r="U60" s="3"/>
    </row>
    <row r="61" spans="1:21" x14ac:dyDescent="0.4">
      <c r="D61" s="77" t="s">
        <v>9</v>
      </c>
      <c r="E61" s="78">
        <f>SUM(E10:E59)</f>
        <v>75642</v>
      </c>
      <c r="F61" s="79"/>
      <c r="G61" s="53">
        <f>SUM(G10:G59)</f>
        <v>1123469.61784</v>
      </c>
      <c r="H61" s="53">
        <f>SUM(H10:H59)</f>
        <v>1109604.8469754583</v>
      </c>
      <c r="I61" s="53">
        <f>SUM(I10:I59)</f>
        <v>-13864.770864541497</v>
      </c>
      <c r="J61" s="80">
        <f>IF(G61&gt;0,I61/G61,0)</f>
        <v>-1.2341028759814724E-2</v>
      </c>
      <c r="K61" s="53">
        <f>SUM(K10:K59)</f>
        <v>13271.18552724101</v>
      </c>
      <c r="L61" s="53">
        <f>SUM(L10:L59)</f>
        <v>15149.140579878633</v>
      </c>
      <c r="M61" s="53">
        <f>SUM(M10:M59)</f>
        <v>1877.9550526376215</v>
      </c>
      <c r="N61" s="80">
        <f>IF(K61&gt;0,M61/K61,0)</f>
        <v>0.14150620144544357</v>
      </c>
      <c r="O61" s="81">
        <f>SUM(O10:O59)</f>
        <v>6764986.4086363232</v>
      </c>
      <c r="P61" s="81">
        <f>SUM(P10:P59)</f>
        <v>4988771.03</v>
      </c>
      <c r="Q61" s="81">
        <f>SUM(Q10:Q59)</f>
        <v>-1776215.3786363229</v>
      </c>
      <c r="R61" s="75">
        <f t="shared" si="1"/>
        <v>-0.26256008088482913</v>
      </c>
      <c r="S61" s="56"/>
    </row>
    <row r="63" spans="1:21" x14ac:dyDescent="0.4">
      <c r="D63" s="57"/>
      <c r="E63" s="30"/>
      <c r="F63" s="31"/>
      <c r="G63" s="82" t="s">
        <v>2</v>
      </c>
      <c r="H63" s="82" t="s">
        <v>3</v>
      </c>
      <c r="I63" s="32"/>
      <c r="J63" s="31"/>
      <c r="K63" s="82" t="s">
        <v>2</v>
      </c>
      <c r="L63" s="82" t="s">
        <v>3</v>
      </c>
      <c r="M63" s="32"/>
      <c r="N63" s="31"/>
      <c r="O63" s="32"/>
      <c r="P63" s="32"/>
      <c r="Q63" s="32"/>
      <c r="R63" s="31"/>
    </row>
    <row r="64" spans="1:21" x14ac:dyDescent="0.4">
      <c r="D64" s="58"/>
      <c r="E64" s="34"/>
      <c r="F64" s="35"/>
      <c r="G64" s="85" t="s">
        <v>61</v>
      </c>
      <c r="H64" s="85" t="s">
        <v>61</v>
      </c>
      <c r="I64" s="36"/>
      <c r="J64" s="37" t="s">
        <v>6</v>
      </c>
      <c r="K64" s="85" t="s">
        <v>62</v>
      </c>
      <c r="L64" s="85" t="s">
        <v>62</v>
      </c>
      <c r="M64" s="36"/>
      <c r="N64" s="37" t="s">
        <v>6</v>
      </c>
      <c r="O64" s="36" t="s">
        <v>2</v>
      </c>
      <c r="P64" s="36" t="s">
        <v>3</v>
      </c>
      <c r="Q64" s="36"/>
      <c r="R64" s="37" t="s">
        <v>6</v>
      </c>
      <c r="S64" s="59"/>
    </row>
    <row r="65" spans="4:19" x14ac:dyDescent="0.4">
      <c r="D65" s="60" t="s">
        <v>12</v>
      </c>
      <c r="E65" s="246" t="s">
        <v>10</v>
      </c>
      <c r="F65" s="247"/>
      <c r="G65" s="86" t="s">
        <v>60</v>
      </c>
      <c r="H65" s="86" t="s">
        <v>60</v>
      </c>
      <c r="I65" s="38" t="s">
        <v>4</v>
      </c>
      <c r="J65" s="61" t="s">
        <v>7</v>
      </c>
      <c r="K65" s="86" t="s">
        <v>60</v>
      </c>
      <c r="L65" s="86" t="s">
        <v>60</v>
      </c>
      <c r="M65" s="38" t="s">
        <v>4</v>
      </c>
      <c r="N65" s="61" t="s">
        <v>7</v>
      </c>
      <c r="O65" s="38" t="s">
        <v>8</v>
      </c>
      <c r="P65" s="38" t="s">
        <v>8</v>
      </c>
      <c r="Q65" s="38" t="s">
        <v>4</v>
      </c>
      <c r="R65" s="61" t="s">
        <v>7</v>
      </c>
      <c r="S65" s="62"/>
    </row>
    <row r="66" spans="4:19" x14ac:dyDescent="0.4">
      <c r="D66" s="57" t="s">
        <v>13</v>
      </c>
      <c r="E66" s="23">
        <f>SUMIF($B$10:$B$59,"Res",E10:E59)</f>
        <v>45127</v>
      </c>
      <c r="F66" s="44"/>
      <c r="G66" s="63">
        <f t="shared" ref="G66:I66" si="6">SUMIF($B$10:$B$59,"Res",G10:G59)</f>
        <v>598480.31343999994</v>
      </c>
      <c r="H66" s="64">
        <f t="shared" si="6"/>
        <v>978411.84835545835</v>
      </c>
      <c r="I66" s="64">
        <f t="shared" si="6"/>
        <v>379931.53491545853</v>
      </c>
      <c r="J66" s="73">
        <f>IF(G66&gt;0,I66/G66,0)</f>
        <v>0.63482712193430935</v>
      </c>
      <c r="K66" s="63">
        <f t="shared" ref="K66:M66" si="7">SUMIF($B$10:$B$59,"Res",K10:K59)</f>
        <v>6439.414679074941</v>
      </c>
      <c r="L66" s="64">
        <f t="shared" si="7"/>
        <v>13422.465629878632</v>
      </c>
      <c r="M66" s="64">
        <f t="shared" si="7"/>
        <v>6983.0509508036903</v>
      </c>
      <c r="N66" s="73">
        <f>IF(K66&gt;0,M66/K66,0)</f>
        <v>1.0844232432328533</v>
      </c>
      <c r="O66" s="42">
        <f t="shared" ref="O66:Q66" si="8">SUMIF($B$10:$B$59,"Res",O10:O59)</f>
        <v>4121814.0797070172</v>
      </c>
      <c r="P66" s="42">
        <f t="shared" si="8"/>
        <v>4020704.9040244049</v>
      </c>
      <c r="Q66" s="42">
        <f t="shared" si="8"/>
        <v>-101109.17568261205</v>
      </c>
      <c r="R66" s="73">
        <f t="shared" ref="R66:R69" si="9">IF(O66&gt;0,Q66/O66,0)</f>
        <v>-2.4530261124683966E-2</v>
      </c>
    </row>
    <row r="67" spans="4:19" x14ac:dyDescent="0.4">
      <c r="D67" s="58" t="s">
        <v>14</v>
      </c>
      <c r="E67" s="23">
        <f>SUMIF($B$10:$B$59,"NonRes",E10:E59)</f>
        <v>30503</v>
      </c>
      <c r="F67" s="44"/>
      <c r="G67" s="65">
        <f>SUMIF($B$10:$B$59,"NonRes",G10:G59)</f>
        <v>524989.30440000002</v>
      </c>
      <c r="H67" s="93">
        <f>SUMIF($B$10:$B$59,"NonRes",H10:H59)</f>
        <v>131192.99862</v>
      </c>
      <c r="I67" s="93">
        <f>SUMIF($B$10:$B$59,"NonRes",I10:I59)</f>
        <v>-393796.30578000005</v>
      </c>
      <c r="J67" s="73">
        <f>IF(G67&gt;0,I67/G67,0)</f>
        <v>-0.75010348302250107</v>
      </c>
      <c r="K67" s="65">
        <f>SUMIF($B$10:$B$59,"NonRes",K10:K59)</f>
        <v>6831.7708481660684</v>
      </c>
      <c r="L67" s="93">
        <f>SUMIF($B$10:$B$59,"NonRes",L10:L59)</f>
        <v>1726.6749500000001</v>
      </c>
      <c r="M67" s="93">
        <f>SUMIF($B$10:$B$59,"NonRes",M10:M59)</f>
        <v>-5105.0958981660688</v>
      </c>
      <c r="N67" s="73">
        <f>IF(K67&gt;0,M67/K67,0)</f>
        <v>-0.74725806992435773</v>
      </c>
      <c r="O67" s="94">
        <f>SUMIF($B$10:$B$59,"NonRes",O10:O59)</f>
        <v>2098172.3289293055</v>
      </c>
      <c r="P67" s="43">
        <f>SUMIF($B$10:$B$59,"NonRes",P10:P59)</f>
        <v>525453.6059755946</v>
      </c>
      <c r="Q67" s="43">
        <f>SUMIF($B$10:$B$59,"NonRes",Q10:Q59)</f>
        <v>-1572718.7229537109</v>
      </c>
      <c r="R67" s="73">
        <f t="shared" ref="R67" si="10">IF(O67&gt;0,Q67/O67,0)</f>
        <v>-0.74956603958087042</v>
      </c>
    </row>
    <row r="68" spans="4:19" x14ac:dyDescent="0.4">
      <c r="D68" s="58" t="s">
        <v>72</v>
      </c>
      <c r="E68" s="23">
        <f>SUMIF($B$10:$B$59,"Other",E10:E59)</f>
        <v>12</v>
      </c>
      <c r="F68" s="44"/>
      <c r="G68" s="65">
        <f>SUMIF($B$10:$B$59,"Other",G10:G59)</f>
        <v>0</v>
      </c>
      <c r="H68" s="66">
        <f>SUMIF($B$10:$B$59,"Other",H10:H59)</f>
        <v>0</v>
      </c>
      <c r="I68" s="66">
        <f>SUMIF($B$10:$B$59,"Other",I10:I59)</f>
        <v>0</v>
      </c>
      <c r="J68" s="73">
        <f>IF(G68&gt;0,I68/G68,0)</f>
        <v>0</v>
      </c>
      <c r="K68" s="65">
        <f>SUMIF($B$10:$B$59,"Other",K10:K59)</f>
        <v>0</v>
      </c>
      <c r="L68" s="66">
        <f>SUMIF($B$10:$B$59,"Other",L10:L59)</f>
        <v>0</v>
      </c>
      <c r="M68" s="66">
        <f>SUMIF($B$10:$B$59,"Other",M10:M59)</f>
        <v>0</v>
      </c>
      <c r="N68" s="73">
        <f>IF(K68&gt;0,M68/K68,0)</f>
        <v>0</v>
      </c>
      <c r="O68" s="50">
        <f>SUMIF($B$10:$B$59,"Other",O10:O59)</f>
        <v>545000</v>
      </c>
      <c r="P68" s="50">
        <f>SUMIF($B$10:$B$59,"Other",P10:P59)</f>
        <v>442612.52</v>
      </c>
      <c r="Q68" s="50">
        <f>SUMIF($B$10:$B$59,"Other",Q10:Q59)</f>
        <v>-102387.47999999998</v>
      </c>
      <c r="R68" s="75">
        <f t="shared" si="9"/>
        <v>-0.18786693577981647</v>
      </c>
    </row>
    <row r="69" spans="4:19" x14ac:dyDescent="0.4">
      <c r="D69" s="9" t="s">
        <v>9</v>
      </c>
      <c r="E69" s="51">
        <f>SUM(E66:E68)</f>
        <v>75642</v>
      </c>
      <c r="F69" s="52"/>
      <c r="G69" s="67">
        <f>SUM(G66:G68)</f>
        <v>1123469.61784</v>
      </c>
      <c r="H69" s="67">
        <f>SUM(H66:H68)</f>
        <v>1109604.8469754583</v>
      </c>
      <c r="I69" s="67">
        <f>SUM(I66:I68)</f>
        <v>-13864.770864541526</v>
      </c>
      <c r="J69" s="80">
        <f>IF(G69&gt;0,I69/G69,0)</f>
        <v>-1.234102875981475E-2</v>
      </c>
      <c r="K69" s="67">
        <f>SUM(K66:K68)</f>
        <v>13271.18552724101</v>
      </c>
      <c r="L69" s="67">
        <f>SUM(L66:L68)</f>
        <v>15149.140579878633</v>
      </c>
      <c r="M69" s="67">
        <f>SUM(M66:M68)</f>
        <v>1877.9550526376215</v>
      </c>
      <c r="N69" s="80">
        <f>IF(K69&gt;0,M69/K69,0)</f>
        <v>0.14150620144544357</v>
      </c>
      <c r="O69" s="81">
        <f>SUM(O66:O68)</f>
        <v>6764986.4086363222</v>
      </c>
      <c r="P69" s="81">
        <f>SUM(P66:P68)</f>
        <v>4988771.0299999993</v>
      </c>
      <c r="Q69" s="81">
        <f>SUM(Q66:Q68)</f>
        <v>-1776215.3786363229</v>
      </c>
      <c r="R69" s="75">
        <f t="shared" si="9"/>
        <v>-0.26256008088482918</v>
      </c>
    </row>
    <row r="70" spans="4:19" x14ac:dyDescent="0.4">
      <c r="E70" s="56"/>
      <c r="P70" s="59"/>
    </row>
    <row r="71" spans="4:19" x14ac:dyDescent="0.4">
      <c r="D71" s="6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3" spans="4:19" ht="12.75" customHeight="1" x14ac:dyDescent="0.75">
      <c r="G73" s="69"/>
    </row>
  </sheetData>
  <mergeCells count="6">
    <mergeCell ref="E65:F65"/>
    <mergeCell ref="D2:R2"/>
    <mergeCell ref="D3:R3"/>
    <mergeCell ref="D4:R4"/>
    <mergeCell ref="D5:R5"/>
    <mergeCell ref="E9:F9"/>
  </mergeCells>
  <conditionalFormatting sqref="A10:A59">
    <cfRule type="duplicateValues" dxfId="34" priority="1"/>
  </conditionalFormatting>
  <printOptions horizontalCentered="1" verticalCentered="1"/>
  <pageMargins left="0.25" right="0.25" top="0.75" bottom="0.75" header="0.3" footer="0.3"/>
  <pageSetup scale="71" orientation="landscape" r:id="rId1"/>
  <headerFooter>
    <oddHeader>&amp;R&amp;"-,Regular"&amp;11 2021 Exhibit B
Plan v Actual Variances by Program
EEP-2018-0002</oddHeader>
    <oddFooter><![CDATA[&C&"-,Regular"&11Page &P of &N&R&"-,Regular"&11&F]]>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DE24-16FC-45A0-8597-86AE23493992}">
  <sheetPr codeName="Sheet8">
    <tabColor theme="3"/>
  </sheetPr>
  <dimension ref="A1:Y200"/>
  <sheetViews>
    <sheetView view="pageLayout" topLeftCell="G4" zoomScaleNormal="85" workbookViewId="0">
      <selection activeCell="M23" sqref="M23"/>
    </sheetView>
  </sheetViews>
  <sheetFormatPr defaultRowHeight="12.75" x14ac:dyDescent="0.35"/>
  <cols>
    <col min="1" max="1" customWidth="true" width="8.73046875" collapsed="false"/>
    <col min="2" max="2" customWidth="true" width="16.265625" collapsed="false"/>
    <col min="3" max="3" customWidth="true" width="18.59765625" collapsed="false"/>
    <col min="4" max="4" customWidth="true" width="33.1328125" collapsed="false"/>
    <col min="5" max="5" customWidth="true" width="7.59765625" collapsed="false"/>
    <col min="6" max="7" customWidth="true" width="11.59765625" collapsed="false"/>
    <col min="8" max="8" customWidth="true" width="8.73046875" collapsed="false"/>
    <col min="9" max="10" customWidth="true" width="11.59765625" collapsed="false"/>
    <col min="11" max="11" customWidth="true" width="8.73046875" collapsed="false"/>
    <col min="12" max="13" customWidth="true" width="11.59765625" collapsed="false"/>
    <col min="14" max="14" customWidth="true" width="8.73046875" collapsed="false"/>
    <col min="15" max="15" bestFit="true" customWidth="true" width="9.0" collapsed="false"/>
    <col min="16" max="16" bestFit="true" customWidth="true" width="10.59765625" collapsed="false"/>
    <col min="17" max="17" customWidth="true" width="8.73046875" collapsed="false"/>
    <col min="18" max="18" customWidth="true" width="8.0" collapsed="false"/>
    <col min="19" max="19" customWidth="true" width="10.1328125" collapsed="false"/>
    <col min="20" max="20" customWidth="true" width="9.0" collapsed="false"/>
  </cols>
  <sheetData>
    <row r="1" spans="1:25" ht="21" x14ac:dyDescent="0.65">
      <c r="A1" s="13"/>
      <c r="B1" s="13"/>
      <c r="C1" s="13"/>
      <c r="D1" s="260" t="s">
        <v>28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0"/>
      <c r="V1" s="20"/>
      <c r="W1" s="20"/>
      <c r="X1" s="20"/>
      <c r="Y1" s="20"/>
    </row>
    <row r="2" spans="1:25" ht="21" x14ac:dyDescent="0.65">
      <c r="A2" s="13"/>
      <c r="B2" s="13"/>
      <c r="C2" s="13"/>
      <c r="D2" s="260" t="s">
        <v>54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0"/>
      <c r="V2" s="20"/>
      <c r="W2" s="20"/>
      <c r="X2" s="20"/>
      <c r="Y2" s="20"/>
    </row>
    <row r="3" spans="1:25" ht="16.899999999999999" x14ac:dyDescent="0.5">
      <c r="A3" s="13"/>
      <c r="B3" s="13"/>
      <c r="C3" s="13"/>
      <c r="D3" s="261" t="s">
        <v>84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1"/>
      <c r="V3" s="21"/>
      <c r="W3" s="21"/>
      <c r="X3" s="21"/>
      <c r="Y3" s="21"/>
    </row>
    <row r="4" spans="1:25" ht="18" x14ac:dyDescent="0.55000000000000004">
      <c r="A4" s="110">
        <v>186348</v>
      </c>
      <c r="B4">
        <v>2021</v>
      </c>
      <c r="D4" s="111" t="s">
        <v>30</v>
      </c>
      <c r="E4" s="112" t="s">
        <v>23</v>
      </c>
      <c r="F4" s="113"/>
      <c r="H4" s="114"/>
      <c r="I4" s="113"/>
      <c r="K4" s="114"/>
      <c r="L4" s="113"/>
      <c r="U4" s="13"/>
      <c r="V4" s="13"/>
      <c r="W4" s="13"/>
      <c r="X4" s="13"/>
      <c r="Y4" s="13"/>
    </row>
    <row r="5" spans="1:25" ht="15.75" x14ac:dyDescent="0.5">
      <c r="D5" s="115"/>
      <c r="E5" s="114"/>
      <c r="F5" s="113"/>
      <c r="H5" s="114"/>
      <c r="I5" s="262" t="s">
        <v>31</v>
      </c>
      <c r="J5" s="262"/>
      <c r="K5" s="262"/>
      <c r="L5" s="113"/>
      <c r="P5" s="263" t="s">
        <v>32</v>
      </c>
      <c r="Q5" s="263"/>
      <c r="R5" s="263"/>
      <c r="S5" s="263"/>
      <c r="U5" s="13"/>
      <c r="V5" s="13"/>
      <c r="W5" s="13"/>
      <c r="X5" s="13"/>
      <c r="Y5" s="13"/>
    </row>
    <row r="6" spans="1:25" ht="18.399999999999999" thickBot="1" x14ac:dyDescent="0.6">
      <c r="D6" s="116"/>
      <c r="E6" s="114"/>
      <c r="F6" s="113"/>
      <c r="H6" s="114"/>
      <c r="I6" s="113"/>
      <c r="K6" s="114"/>
      <c r="L6" s="113"/>
      <c r="U6" s="13"/>
      <c r="V6" s="13"/>
      <c r="W6" s="13"/>
      <c r="X6" s="13"/>
      <c r="Y6" s="13"/>
    </row>
    <row r="7" spans="1:25" ht="14.25" customHeight="1" x14ac:dyDescent="0.45">
      <c r="A7" s="117">
        <v>44531</v>
      </c>
      <c r="E7" s="114"/>
      <c r="F7" s="253" t="s">
        <v>33</v>
      </c>
      <c r="G7" s="254"/>
      <c r="H7" s="254"/>
      <c r="I7" s="255" t="s">
        <v>34</v>
      </c>
      <c r="J7" s="255"/>
      <c r="K7" s="255"/>
      <c r="L7" s="254" t="s">
        <v>35</v>
      </c>
      <c r="M7" s="254"/>
      <c r="N7" s="256"/>
      <c r="O7" s="257" t="s">
        <v>55</v>
      </c>
      <c r="P7" s="258"/>
      <c r="Q7" s="258"/>
      <c r="R7" s="258" t="s">
        <v>56</v>
      </c>
      <c r="S7" s="258"/>
      <c r="T7" s="259"/>
      <c r="U7" s="13"/>
      <c r="V7" s="13"/>
      <c r="W7" s="13"/>
      <c r="X7" s="13"/>
      <c r="Y7" s="13"/>
    </row>
    <row r="8" spans="1:25" ht="26.25" x14ac:dyDescent="0.45">
      <c r="A8">
        <f>MONTH(A7)</f>
        <v>12</v>
      </c>
      <c r="B8" s="117"/>
      <c r="C8" s="117"/>
      <c r="E8" s="118" t="s">
        <v>38</v>
      </c>
      <c r="F8" s="119" t="s">
        <v>3</v>
      </c>
      <c r="G8" s="120" t="s">
        <v>39</v>
      </c>
      <c r="H8" s="120" t="s">
        <v>40</v>
      </c>
      <c r="I8" s="121" t="s">
        <v>3</v>
      </c>
      <c r="J8" s="120" t="s">
        <v>39</v>
      </c>
      <c r="K8" s="120" t="s">
        <v>40</v>
      </c>
      <c r="L8" s="121" t="s">
        <v>3</v>
      </c>
      <c r="M8" s="120" t="s">
        <v>39</v>
      </c>
      <c r="N8" s="122" t="s">
        <v>40</v>
      </c>
      <c r="O8" s="123" t="s">
        <v>3</v>
      </c>
      <c r="P8" s="120" t="s">
        <v>39</v>
      </c>
      <c r="Q8" s="120" t="s">
        <v>40</v>
      </c>
      <c r="R8" s="120" t="s">
        <v>3</v>
      </c>
      <c r="S8" s="120" t="s">
        <v>39</v>
      </c>
      <c r="T8" s="122" t="s">
        <v>40</v>
      </c>
      <c r="U8" s="13"/>
      <c r="V8" s="13"/>
      <c r="W8" s="13"/>
      <c r="X8" s="13"/>
      <c r="Y8" s="13"/>
    </row>
    <row r="9" spans="1:25" ht="14.25" x14ac:dyDescent="0.45">
      <c r="A9" s="117"/>
      <c r="B9" s="117"/>
      <c r="C9" s="117"/>
      <c r="D9" s="124" t="s">
        <v>13</v>
      </c>
      <c r="E9" s="118"/>
      <c r="F9" s="125"/>
      <c r="G9" s="118"/>
      <c r="H9" s="126"/>
      <c r="I9" s="127"/>
      <c r="J9" s="118"/>
      <c r="K9" s="126"/>
      <c r="L9" s="127"/>
      <c r="M9" s="118"/>
      <c r="N9" s="128"/>
      <c r="O9" s="129"/>
      <c r="P9" s="118"/>
      <c r="Q9" s="126"/>
      <c r="R9" s="130"/>
      <c r="S9" s="118"/>
      <c r="T9" s="128"/>
      <c r="U9" s="13"/>
      <c r="V9" s="13"/>
      <c r="W9" s="13"/>
      <c r="X9" s="13"/>
      <c r="Y9" s="13"/>
    </row>
    <row r="10" spans="1:25" ht="14.25" x14ac:dyDescent="0.45">
      <c r="A10" s="131">
        <v>98856</v>
      </c>
      <c r="B10" s="131"/>
      <c r="C10" s="131"/>
      <c r="D10" s="14" t="s">
        <v>41</v>
      </c>
      <c r="E10" s="132">
        <f t="shared" ref="E10:E18" si="0">MONTH($A$7)/12</f>
        <v>1</v>
      </c>
      <c r="F10" s="133">
        <f>'[2]IA Gas - actuals - 186348'!F10+'[2]IA Gas - actuals - 186345'!F10</f>
        <v>303431.06489881402</v>
      </c>
      <c r="G10" s="134">
        <f>'[2]IA Gas - actuals - 186348'!G10+'[2]IA Gas - actuals - 186345'!G10</f>
        <v>444986.3627234177</v>
      </c>
      <c r="H10" s="135">
        <f>IF(G10&lt;&gt;0,F10/G10,0)</f>
        <v>0.68188845842768508</v>
      </c>
      <c r="I10" s="134">
        <f>'[2]IA Gas - actuals - 186348'!I10+'[2]IA Gas - actuals - 186345'!I10</f>
        <v>2083640.26</v>
      </c>
      <c r="J10" s="134">
        <f>'[2]IA Gas - actuals - 186348'!J10+'[2]IA Gas - actuals - 186345'!J10</f>
        <v>1281250</v>
      </c>
      <c r="K10" s="135">
        <f>IF(J10&lt;&gt;0,I10/J10,0)</f>
        <v>1.6262558126829267</v>
      </c>
      <c r="L10" s="136">
        <f>F10+I10</f>
        <v>2387071.3248988139</v>
      </c>
      <c r="M10" s="134">
        <f>G10+J10</f>
        <v>1726236.3627234176</v>
      </c>
      <c r="N10" s="137">
        <f>IF(M10&lt;&gt;0,L10/M10,0)</f>
        <v>1.3828183535265253</v>
      </c>
      <c r="O10" s="138">
        <f>'[2]IA Gas - actuals - 186348'!O10+'[2]IA Gas - actuals - 186345'!O10</f>
        <v>1085526.9183</v>
      </c>
      <c r="P10" s="139">
        <f>'[2]IA Gas - actuals - 186348'!P10+'[2]IA Gas - actuals - 186345'!P10</f>
        <v>731497.00800000015</v>
      </c>
      <c r="Q10" s="135">
        <f>IF(P10&lt;&gt;0,O10/P10,0)</f>
        <v>1.4839799840985812</v>
      </c>
      <c r="R10" s="140">
        <f>'[2]IA Gas - actuals - 186348'!R10+'[2]IA Gas - actuals - 186345'!R10</f>
        <v>17937.453999999998</v>
      </c>
      <c r="S10" s="139">
        <f>'[2]IA Gas - actuals - 186348'!S10+'[2]IA Gas - actuals - 186345'!S10</f>
        <v>12087.927498533223</v>
      </c>
      <c r="T10" s="137">
        <f>IF(S10&lt;&gt;0,R10/S10,0)</f>
        <v>1.4839147572796552</v>
      </c>
      <c r="U10" s="13"/>
      <c r="V10" s="13"/>
      <c r="W10" s="13"/>
      <c r="X10" s="13"/>
      <c r="Y10" s="13"/>
    </row>
    <row r="11" spans="1:25" ht="14.25" x14ac:dyDescent="0.45">
      <c r="A11" s="131">
        <v>98855</v>
      </c>
      <c r="B11" s="131"/>
      <c r="C11" s="131"/>
      <c r="D11" s="14" t="s">
        <v>85</v>
      </c>
      <c r="E11" s="132">
        <f t="shared" si="0"/>
        <v>1</v>
      </c>
      <c r="F11" s="133">
        <f>'[2]IA Gas - actuals - 186348'!F11+'[2]IA Gas - actuals - 186345'!F11</f>
        <v>64215.397733910431</v>
      </c>
      <c r="G11" s="134">
        <f>'[2]IA Gas - actuals - 186348'!G11+'[2]IA Gas - actuals - 186345'!G11</f>
        <v>336947.07303282857</v>
      </c>
      <c r="H11" s="135">
        <f t="shared" ref="H11:H18" si="1">IF(G11&lt;&gt;0,F11/G11,0)</f>
        <v>0.19058007287587853</v>
      </c>
      <c r="I11" s="134">
        <f>'[2]IA Gas - actuals - 186348'!I11+'[2]IA Gas - actuals - 186345'!I11</f>
        <v>341196.33</v>
      </c>
      <c r="J11" s="134">
        <f>'[2]IA Gas - actuals - 186348'!J11+'[2]IA Gas - actuals - 186345'!J11</f>
        <v>522682.6584157825</v>
      </c>
      <c r="K11" s="135">
        <f t="shared" ref="K11:K18" si="2">IF(J11&lt;&gt;0,I11/J11,0)</f>
        <v>0.65277912803563087</v>
      </c>
      <c r="L11" s="136">
        <f t="shared" ref="L11:M31" si="3">F11+I11</f>
        <v>405411.72773391043</v>
      </c>
      <c r="M11" s="134">
        <f t="shared" si="3"/>
        <v>859629.73144861101</v>
      </c>
      <c r="N11" s="137">
        <f t="shared" ref="N11:N18" si="4">IF(M11&lt;&gt;0,L11/M11,0)</f>
        <v>0.47161203585958811</v>
      </c>
      <c r="O11" s="138">
        <f>'[2]IA Gas - actuals - 186348'!O11+'[2]IA Gas - actuals - 186345'!O11</f>
        <v>181963.05590000001</v>
      </c>
      <c r="P11" s="139">
        <f>'[2]IA Gas - actuals - 186348'!P11+'[2]IA Gas - actuals - 186345'!P11</f>
        <v>265920.00000000006</v>
      </c>
      <c r="Q11" s="135">
        <f t="shared" ref="Q11:Q18" si="5">IF(P11&lt;&gt;0,O11/P11,0)</f>
        <v>0.68427743644705163</v>
      </c>
      <c r="R11" s="140">
        <f>'[2]IA Gas - actuals - 186348'!R11+'[2]IA Gas - actuals - 186345'!R11</f>
        <v>471.4307</v>
      </c>
      <c r="S11" s="139">
        <f>'[2]IA Gas - actuals - 186348'!S11+'[2]IA Gas - actuals - 186345'!S11</f>
        <v>728.54794520547966</v>
      </c>
      <c r="T11" s="137">
        <f t="shared" ref="T11:T18" si="6">IF(S11&lt;&gt;0,R11/S11,0)</f>
        <v>0.64708260191034883</v>
      </c>
      <c r="U11" s="13"/>
      <c r="V11" s="13"/>
      <c r="W11" s="13"/>
      <c r="X11" s="13"/>
      <c r="Y11" s="13"/>
    </row>
    <row r="12" spans="1:25" ht="14.25" x14ac:dyDescent="0.45">
      <c r="A12" s="131">
        <v>46002</v>
      </c>
      <c r="B12" s="131"/>
      <c r="C12" s="131"/>
      <c r="D12" s="14" t="s">
        <v>47</v>
      </c>
      <c r="E12" s="132">
        <f t="shared" si="0"/>
        <v>1</v>
      </c>
      <c r="F12" s="133">
        <f>'[2]IA Gas - actuals - 186348'!F12+'[2]IA Gas - actuals - 186345'!F12</f>
        <v>0</v>
      </c>
      <c r="G12" s="134">
        <f>'[2]IA Gas - actuals - 186348'!G12+'[2]IA Gas - actuals - 186345'!G12</f>
        <v>0</v>
      </c>
      <c r="H12" s="135">
        <f t="shared" si="1"/>
        <v>0</v>
      </c>
      <c r="I12" s="134">
        <f>'[2]IA Gas - actuals - 186348'!I12+'[2]IA Gas - actuals - 186345'!I12</f>
        <v>0</v>
      </c>
      <c r="J12" s="134">
        <f>'[2]IA Gas - actuals - 186348'!J12+'[2]IA Gas - actuals - 186345'!J12</f>
        <v>0</v>
      </c>
      <c r="K12" s="135">
        <f t="shared" si="2"/>
        <v>0</v>
      </c>
      <c r="L12" s="136">
        <f t="shared" si="3"/>
        <v>0</v>
      </c>
      <c r="M12" s="134">
        <f t="shared" si="3"/>
        <v>0</v>
      </c>
      <c r="N12" s="137">
        <f t="shared" si="4"/>
        <v>0</v>
      </c>
      <c r="O12" s="138">
        <f>'[2]IA Gas - actuals - 186348'!O12+'[2]IA Gas - actuals - 186345'!O12</f>
        <v>0</v>
      </c>
      <c r="P12" s="139">
        <f>'[2]IA Gas - actuals - 186348'!P12+'[2]IA Gas - actuals - 186345'!P12</f>
        <v>0</v>
      </c>
      <c r="Q12" s="135">
        <f t="shared" si="5"/>
        <v>0</v>
      </c>
      <c r="R12" s="140">
        <f>'[2]IA Gas - actuals - 186348'!R12+'[2]IA Gas - actuals - 186345'!R12</f>
        <v>0</v>
      </c>
      <c r="S12" s="139">
        <f>'[2]IA Gas - actuals - 186348'!S12+'[2]IA Gas - actuals - 186345'!S12</f>
        <v>0</v>
      </c>
      <c r="T12" s="137">
        <f t="shared" si="6"/>
        <v>0</v>
      </c>
      <c r="U12" s="13"/>
      <c r="V12" s="13"/>
      <c r="W12" s="13"/>
      <c r="X12" s="13"/>
      <c r="Y12" s="13"/>
    </row>
    <row r="13" spans="1:25" ht="14.25" x14ac:dyDescent="0.45">
      <c r="A13" s="131">
        <v>98871</v>
      </c>
      <c r="B13" s="131"/>
      <c r="C13" s="131"/>
      <c r="D13" s="14" t="s">
        <v>18</v>
      </c>
      <c r="E13" s="132">
        <f t="shared" si="0"/>
        <v>1</v>
      </c>
      <c r="F13" s="133">
        <f>'[2]IA Gas - actuals - 186348'!F13+'[2]IA Gas - actuals - 186345'!F13</f>
        <v>0</v>
      </c>
      <c r="G13" s="134">
        <f>'[2]IA Gas - actuals - 186348'!G13+'[2]IA Gas - actuals - 186345'!G13</f>
        <v>0</v>
      </c>
      <c r="H13" s="135">
        <f t="shared" si="1"/>
        <v>0</v>
      </c>
      <c r="I13" s="134">
        <f>'[2]IA Gas - actuals - 186348'!I13+'[2]IA Gas - actuals - 186345'!I13</f>
        <v>0</v>
      </c>
      <c r="J13" s="134">
        <f>'[2]IA Gas - actuals - 186348'!J13+'[2]IA Gas - actuals - 186345'!J13</f>
        <v>0</v>
      </c>
      <c r="K13" s="135">
        <f t="shared" si="2"/>
        <v>0</v>
      </c>
      <c r="L13" s="136">
        <f t="shared" si="3"/>
        <v>0</v>
      </c>
      <c r="M13" s="134">
        <f t="shared" si="3"/>
        <v>0</v>
      </c>
      <c r="N13" s="137">
        <f t="shared" si="4"/>
        <v>0</v>
      </c>
      <c r="O13" s="138">
        <f>'[2]IA Gas - actuals - 186348'!O13+'[2]IA Gas - actuals - 186345'!O13</f>
        <v>0</v>
      </c>
      <c r="P13" s="139">
        <f>'[2]IA Gas - actuals - 186348'!P13+'[2]IA Gas - actuals - 186345'!P13</f>
        <v>0</v>
      </c>
      <c r="Q13" s="135">
        <f t="shared" si="5"/>
        <v>0</v>
      </c>
      <c r="R13" s="140">
        <f>'[2]IA Gas - actuals - 186348'!R13+'[2]IA Gas - actuals - 186345'!R13</f>
        <v>0</v>
      </c>
      <c r="S13" s="139">
        <f>'[2]IA Gas - actuals - 186348'!S13+'[2]IA Gas - actuals - 186345'!S13</f>
        <v>0</v>
      </c>
      <c r="T13" s="137">
        <f t="shared" si="6"/>
        <v>0</v>
      </c>
      <c r="U13" s="13"/>
      <c r="V13" s="13"/>
      <c r="W13" s="13"/>
      <c r="X13" s="13"/>
      <c r="Y13" s="13"/>
    </row>
    <row r="14" spans="1:25" ht="14.25" x14ac:dyDescent="0.45">
      <c r="A14" s="131">
        <v>98870</v>
      </c>
      <c r="B14" s="131"/>
      <c r="C14" s="131"/>
      <c r="D14" s="14" t="s">
        <v>19</v>
      </c>
      <c r="E14" s="132">
        <f t="shared" si="0"/>
        <v>1</v>
      </c>
      <c r="F14" s="133">
        <f>'[2]IA Gas - actuals - 186348'!F14+'[2]IA Gas - actuals - 186345'!F14</f>
        <v>0</v>
      </c>
      <c r="G14" s="134">
        <f>'[2]IA Gas - actuals - 186348'!G14+'[2]IA Gas - actuals - 186345'!G14</f>
        <v>0</v>
      </c>
      <c r="H14" s="135">
        <f t="shared" si="1"/>
        <v>0</v>
      </c>
      <c r="I14" s="134">
        <f>'[2]IA Gas - actuals - 186348'!I14+'[2]IA Gas - actuals - 186345'!I14</f>
        <v>0</v>
      </c>
      <c r="J14" s="134">
        <f>'[2]IA Gas - actuals - 186348'!J14+'[2]IA Gas - actuals - 186345'!J14</f>
        <v>0</v>
      </c>
      <c r="K14" s="135">
        <f t="shared" si="2"/>
        <v>0</v>
      </c>
      <c r="L14" s="136">
        <f t="shared" si="3"/>
        <v>0</v>
      </c>
      <c r="M14" s="134">
        <f t="shared" si="3"/>
        <v>0</v>
      </c>
      <c r="N14" s="137">
        <f t="shared" si="4"/>
        <v>0</v>
      </c>
      <c r="O14" s="138">
        <f>'[2]IA Gas - actuals - 186348'!O14+'[2]IA Gas - actuals - 186345'!O14</f>
        <v>0</v>
      </c>
      <c r="P14" s="139">
        <f>'[2]IA Gas - actuals - 186348'!P14+'[2]IA Gas - actuals - 186345'!P14</f>
        <v>0</v>
      </c>
      <c r="Q14" s="135">
        <f t="shared" si="5"/>
        <v>0</v>
      </c>
      <c r="R14" s="140">
        <f>'[2]IA Gas - actuals - 186348'!R14+'[2]IA Gas - actuals - 186345'!R14</f>
        <v>0</v>
      </c>
      <c r="S14" s="139">
        <f>'[2]IA Gas - actuals - 186348'!S14+'[2]IA Gas - actuals - 186345'!S14</f>
        <v>0</v>
      </c>
      <c r="T14" s="137">
        <f t="shared" si="6"/>
        <v>0</v>
      </c>
      <c r="U14" s="13"/>
      <c r="V14" s="13"/>
      <c r="W14" s="13"/>
      <c r="X14" s="13"/>
      <c r="Y14" s="13"/>
    </row>
    <row r="15" spans="1:25" ht="14.25" x14ac:dyDescent="0.45">
      <c r="A15" s="131">
        <v>98854</v>
      </c>
      <c r="B15" s="131"/>
      <c r="C15" s="131"/>
      <c r="D15" s="14" t="s">
        <v>43</v>
      </c>
      <c r="E15" s="132">
        <f t="shared" si="0"/>
        <v>1</v>
      </c>
      <c r="F15" s="133">
        <f>'[2]IA Gas - actuals - 186348'!F15+'[2]IA Gas - actuals - 186345'!F15</f>
        <v>103980.40258834658</v>
      </c>
      <c r="G15" s="134">
        <f>'[2]IA Gas - actuals - 186348'!G15+'[2]IA Gas - actuals - 186345'!G15</f>
        <v>195840</v>
      </c>
      <c r="H15" s="135">
        <f t="shared" si="1"/>
        <v>0.53094568315127955</v>
      </c>
      <c r="I15" s="134">
        <f>'[2]IA Gas - actuals - 186348'!I15+'[2]IA Gas - actuals - 186345'!I15</f>
        <v>1015879.8</v>
      </c>
      <c r="J15" s="134">
        <f>'[2]IA Gas - actuals - 186348'!J15+'[2]IA Gas - actuals - 186345'!J15</f>
        <v>1060107.9855349886</v>
      </c>
      <c r="K15" s="135">
        <f t="shared" si="2"/>
        <v>0.95827954685892813</v>
      </c>
      <c r="L15" s="136">
        <f t="shared" si="3"/>
        <v>1119860.2025883466</v>
      </c>
      <c r="M15" s="134">
        <f t="shared" si="3"/>
        <v>1255947.9855349886</v>
      </c>
      <c r="N15" s="137">
        <f t="shared" si="4"/>
        <v>0.89164536707412012</v>
      </c>
      <c r="O15" s="138">
        <f>'[2]IA Gas - actuals - 186348'!O15+'[2]IA Gas - actuals - 186345'!O15</f>
        <v>33238.35</v>
      </c>
      <c r="P15" s="139">
        <f>'[2]IA Gas - actuals - 186348'!P15+'[2]IA Gas - actuals - 186345'!P15</f>
        <v>36646</v>
      </c>
      <c r="Q15" s="135">
        <f t="shared" si="5"/>
        <v>0.90701167931015658</v>
      </c>
      <c r="R15" s="140">
        <f>'[2]IA Gas - actuals - 186348'!R15+'[2]IA Gas - actuals - 186345'!R15</f>
        <v>377.93379999999996</v>
      </c>
      <c r="S15" s="139">
        <f>'[2]IA Gas - actuals - 186348'!S15+'[2]IA Gas - actuals - 186345'!S15</f>
        <v>381.02466793168878</v>
      </c>
      <c r="T15" s="137">
        <f t="shared" si="6"/>
        <v>0.99188801095617529</v>
      </c>
      <c r="U15" s="13"/>
      <c r="V15" s="13"/>
      <c r="W15" s="13"/>
      <c r="X15" s="13"/>
      <c r="Y15" s="13"/>
    </row>
    <row r="16" spans="1:25" s="15" customFormat="1" ht="14.25" x14ac:dyDescent="0.45">
      <c r="A16" s="131">
        <v>98869</v>
      </c>
      <c r="B16" s="131"/>
      <c r="C16" s="131"/>
      <c r="D16" s="14" t="s">
        <v>95</v>
      </c>
      <c r="E16" s="132">
        <f t="shared" si="0"/>
        <v>1</v>
      </c>
      <c r="F16" s="133">
        <f>'[2]IA Gas - actuals - 186348'!F16+'[2]IA Gas - actuals - 186345'!F16</f>
        <v>0</v>
      </c>
      <c r="G16" s="134">
        <f>'[2]IA Gas - actuals - 186348'!G16+'[2]IA Gas - actuals - 186345'!G16</f>
        <v>0</v>
      </c>
      <c r="H16" s="135">
        <f t="shared" si="1"/>
        <v>0</v>
      </c>
      <c r="I16" s="134">
        <f>'[2]IA Gas - actuals - 186348'!I16+'[2]IA Gas - actuals - 186345'!I16</f>
        <v>0</v>
      </c>
      <c r="J16" s="134">
        <f>'[2]IA Gas - actuals - 186348'!J16+'[2]IA Gas - actuals - 186345'!J16</f>
        <v>0</v>
      </c>
      <c r="K16" s="135">
        <f t="shared" si="2"/>
        <v>0</v>
      </c>
      <c r="L16" s="136">
        <f>F16+I16</f>
        <v>0</v>
      </c>
      <c r="M16" s="134">
        <f t="shared" si="3"/>
        <v>0</v>
      </c>
      <c r="N16" s="137">
        <f t="shared" si="4"/>
        <v>0</v>
      </c>
      <c r="O16" s="138">
        <f>'[2]IA Gas - actuals - 186348'!O16+'[2]IA Gas - actuals - 186345'!O16</f>
        <v>0</v>
      </c>
      <c r="P16" s="139">
        <f>'[2]IA Gas - actuals - 186348'!P16+'[2]IA Gas - actuals - 186345'!P16</f>
        <v>0</v>
      </c>
      <c r="Q16" s="135">
        <f t="shared" si="5"/>
        <v>0</v>
      </c>
      <c r="R16" s="140">
        <f>'[2]IA Gas - actuals - 186348'!R16+'[2]IA Gas - actuals - 186345'!R16</f>
        <v>0</v>
      </c>
      <c r="S16" s="139">
        <f>'[2]IA Gas - actuals - 186348'!S16+'[2]IA Gas - actuals - 186345'!S16</f>
        <v>0</v>
      </c>
      <c r="T16" s="137">
        <f t="shared" si="6"/>
        <v>0</v>
      </c>
    </row>
    <row r="17" spans="1:20" ht="14.25" x14ac:dyDescent="0.45">
      <c r="A17" s="131">
        <v>98867</v>
      </c>
      <c r="B17" s="131"/>
      <c r="C17" s="131"/>
      <c r="D17" s="14" t="s">
        <v>96</v>
      </c>
      <c r="E17" s="132">
        <f t="shared" si="0"/>
        <v>1</v>
      </c>
      <c r="F17" s="133">
        <f>'[2]IA Gas - actuals - 186348'!F17+'[2]IA Gas - actuals - 186345'!F17</f>
        <v>0</v>
      </c>
      <c r="G17" s="134">
        <f>'[2]IA Gas - actuals - 186348'!G17+'[2]IA Gas - actuals - 186345'!G17</f>
        <v>0</v>
      </c>
      <c r="H17" s="135">
        <f t="shared" si="1"/>
        <v>0</v>
      </c>
      <c r="I17" s="134">
        <f>'[2]IA Gas - actuals - 186348'!I17+'[2]IA Gas - actuals - 186345'!I17</f>
        <v>0</v>
      </c>
      <c r="J17" s="134">
        <f>'[2]IA Gas - actuals - 186348'!J17+'[2]IA Gas - actuals - 186345'!J17</f>
        <v>0</v>
      </c>
      <c r="K17" s="135">
        <f t="shared" si="2"/>
        <v>0</v>
      </c>
      <c r="L17" s="136">
        <f t="shared" si="3"/>
        <v>0</v>
      </c>
      <c r="M17" s="134">
        <f t="shared" si="3"/>
        <v>0</v>
      </c>
      <c r="N17" s="137">
        <f t="shared" si="4"/>
        <v>0</v>
      </c>
      <c r="O17" s="138">
        <f>'[2]IA Gas - actuals - 186348'!O17+'[2]IA Gas - actuals - 186345'!O17</f>
        <v>0</v>
      </c>
      <c r="P17" s="139">
        <f>'[2]IA Gas - actuals - 186348'!P17+'[2]IA Gas - actuals - 186345'!P17</f>
        <v>0</v>
      </c>
      <c r="Q17" s="135">
        <f t="shared" si="5"/>
        <v>0</v>
      </c>
      <c r="R17" s="140">
        <f>'[2]IA Gas - actuals - 186348'!R17+'[2]IA Gas - actuals - 186345'!R17</f>
        <v>0</v>
      </c>
      <c r="S17" s="139">
        <f>'[2]IA Gas - actuals - 186348'!S17+'[2]IA Gas - actuals - 186345'!S17</f>
        <v>0</v>
      </c>
      <c r="T17" s="137">
        <f t="shared" si="6"/>
        <v>0</v>
      </c>
    </row>
    <row r="18" spans="1:20" ht="14.65" thickBot="1" x14ac:dyDescent="0.5">
      <c r="A18" s="131">
        <v>98865</v>
      </c>
      <c r="B18" s="131"/>
      <c r="C18" s="131"/>
      <c r="D18" s="14" t="s">
        <v>44</v>
      </c>
      <c r="E18" s="132">
        <f t="shared" si="0"/>
        <v>1</v>
      </c>
      <c r="F18" s="141">
        <f>'[2]IA Gas - actuals - 186348'!F18+'[2]IA Gas - actuals - 186345'!F18</f>
        <v>108361.64880333429</v>
      </c>
      <c r="G18" s="142">
        <f>'[2]IA Gas - actuals - 186348'!G18+'[2]IA Gas - actuals - 186345'!G18</f>
        <v>280000</v>
      </c>
      <c r="H18" s="135">
        <f t="shared" si="1"/>
        <v>0.38700588858333673</v>
      </c>
      <c r="I18" s="142">
        <f>'[2]IA Gas - actuals - 186348'!I18+'[2]IA Gas - actuals - 186345'!I18</f>
        <v>0</v>
      </c>
      <c r="J18" s="142">
        <f>'[2]IA Gas - actuals - 186348'!J18+'[2]IA Gas - actuals - 186345'!J18</f>
        <v>0</v>
      </c>
      <c r="K18" s="135">
        <f t="shared" si="2"/>
        <v>0</v>
      </c>
      <c r="L18" s="143">
        <f t="shared" si="3"/>
        <v>108361.64880333429</v>
      </c>
      <c r="M18" s="142">
        <f t="shared" si="3"/>
        <v>280000</v>
      </c>
      <c r="N18" s="137">
        <f t="shared" si="4"/>
        <v>0.38700588858333673</v>
      </c>
      <c r="O18" s="144">
        <f>'[2]IA Gas - actuals - 186348'!O18+'[2]IA Gas - actuals - 186345'!O18</f>
        <v>0</v>
      </c>
      <c r="P18" s="145">
        <f>'[2]IA Gas - actuals - 186348'!P18+'[2]IA Gas - actuals - 186345'!P18</f>
        <v>0</v>
      </c>
      <c r="Q18" s="135">
        <f t="shared" si="5"/>
        <v>0</v>
      </c>
      <c r="R18" s="146">
        <f>'[2]IA Gas - actuals - 186348'!R18+'[2]IA Gas - actuals - 186345'!R18</f>
        <v>0</v>
      </c>
      <c r="S18" s="145">
        <f>'[2]IA Gas - actuals - 186348'!S18+'[2]IA Gas - actuals - 186345'!S18</f>
        <v>0</v>
      </c>
      <c r="T18" s="137">
        <f t="shared" si="6"/>
        <v>0</v>
      </c>
    </row>
    <row r="19" spans="1:20" ht="15" thickTop="1" thickBot="1" x14ac:dyDescent="0.5">
      <c r="A19" s="147"/>
      <c r="B19" s="147"/>
      <c r="C19" s="147"/>
      <c r="D19" s="16" t="s">
        <v>45</v>
      </c>
      <c r="E19" s="148"/>
      <c r="F19" s="149">
        <f>SUM(F10:F18)</f>
        <v>579988.51402440527</v>
      </c>
      <c r="G19" s="150">
        <f>SUM(G10:G18)</f>
        <v>1257773.4357562463</v>
      </c>
      <c r="H19" s="151">
        <f t="shared" ref="H19:H32" si="7">F19/G19</f>
        <v>0.46112320195066175</v>
      </c>
      <c r="I19" s="150">
        <f>SUM(I10:I18)</f>
        <v>3440716.3899999997</v>
      </c>
      <c r="J19" s="150">
        <f>SUM(J10:J18)</f>
        <v>2864040.6439507711</v>
      </c>
      <c r="K19" s="151">
        <f t="shared" ref="K19:K32" si="8">I19/J19</f>
        <v>1.20135040585658</v>
      </c>
      <c r="L19" s="152">
        <f>SUM(L10:L18)</f>
        <v>4020704.9040244049</v>
      </c>
      <c r="M19" s="150">
        <f>SUM(M10:M18)</f>
        <v>4121814.0797070172</v>
      </c>
      <c r="N19" s="153">
        <f t="shared" ref="N19:N32" si="9">L19/M19</f>
        <v>0.97546973887531596</v>
      </c>
      <c r="O19" s="154">
        <f>SUM(O10:O18)</f>
        <v>1300728.3242000001</v>
      </c>
      <c r="P19" s="155">
        <f>SUM(P10:P18)</f>
        <v>1034063.0080000001</v>
      </c>
      <c r="Q19" s="156">
        <f t="shared" ref="Q19" si="10">O19/P19</f>
        <v>1.2578811098907428</v>
      </c>
      <c r="R19" s="155">
        <f>SUM(R10:R18)</f>
        <v>18786.818499999998</v>
      </c>
      <c r="S19" s="155">
        <f>SUM(S10:S18)</f>
        <v>13197.50011167039</v>
      </c>
      <c r="T19" s="157">
        <f t="shared" ref="T19" si="11">R19/S19</f>
        <v>1.4235134185289411</v>
      </c>
    </row>
    <row r="20" spans="1:20" ht="14.65" thickTop="1" x14ac:dyDescent="0.45">
      <c r="E20" s="158"/>
      <c r="F20" s="133"/>
      <c r="H20" s="159"/>
      <c r="I20" s="134"/>
      <c r="K20" s="135"/>
      <c r="L20" s="136"/>
      <c r="N20" s="137"/>
      <c r="O20" s="138"/>
      <c r="P20" s="160"/>
      <c r="Q20" s="135"/>
      <c r="R20" s="140"/>
      <c r="S20" s="160"/>
      <c r="T20" s="137"/>
    </row>
    <row r="21" spans="1:20" ht="14.25" x14ac:dyDescent="0.45">
      <c r="D21" s="17" t="s">
        <v>46</v>
      </c>
      <c r="E21" s="158"/>
      <c r="F21" s="133"/>
      <c r="H21" s="159"/>
      <c r="I21" s="134"/>
      <c r="K21" s="135"/>
      <c r="L21" s="136"/>
      <c r="N21" s="137"/>
      <c r="O21" s="138"/>
      <c r="P21" s="160"/>
      <c r="Q21" s="135"/>
      <c r="R21" s="140"/>
      <c r="S21" s="160"/>
      <c r="T21" s="137"/>
    </row>
    <row r="22" spans="1:20" ht="14.25" x14ac:dyDescent="0.45">
      <c r="A22" s="131">
        <v>98858</v>
      </c>
      <c r="B22" s="131"/>
      <c r="C22" s="131"/>
      <c r="D22" s="14" t="s">
        <v>41</v>
      </c>
      <c r="E22" s="132">
        <f t="shared" ref="E22:E31" si="12">MONTH($A$7)/12</f>
        <v>1</v>
      </c>
      <c r="F22" s="133">
        <f>'[2]IA Gas - actuals - 186348'!F22+'[2]IA Gas - actuals - 186345'!F22</f>
        <v>102833.60650689731</v>
      </c>
      <c r="G22" s="161">
        <f>'[2]IA Gas - actuals - 186348'!G22+'[2]IA Gas - actuals - 186345'!G22</f>
        <v>147804.42600000004</v>
      </c>
      <c r="H22" s="135">
        <f>IF(G22&lt;&gt;0,F22/G22,0)</f>
        <v>0.69574104977679951</v>
      </c>
      <c r="I22" s="134">
        <f>'[2]IA Gas - actuals - 186348'!I22+'[2]IA Gas - actuals - 186345'!I22</f>
        <v>55316.55</v>
      </c>
      <c r="J22" s="134">
        <f>'[2]IA Gas - actuals - 186348'!J22+'[2]IA Gas - actuals - 186345'!J22</f>
        <v>140284.95000000001</v>
      </c>
      <c r="K22" s="135">
        <f>IF(J22&lt;&gt;0,I22/J22,0)</f>
        <v>0.39431564112900208</v>
      </c>
      <c r="L22" s="136">
        <f t="shared" si="3"/>
        <v>158150.1565068973</v>
      </c>
      <c r="M22" s="161">
        <f t="shared" si="3"/>
        <v>288089.37600000005</v>
      </c>
      <c r="N22" s="137">
        <f>IF(M22&lt;&gt;0,L22/M22,0)</f>
        <v>0.54896212662454191</v>
      </c>
      <c r="O22" s="138">
        <f>'[2]IA Gas - actuals - 186348'!O22+'[2]IA Gas - actuals - 186345'!O22</f>
        <v>5812.2230000000018</v>
      </c>
      <c r="P22" s="139">
        <f>'[2]IA Gas - actuals - 186348'!P22+'[2]IA Gas - actuals - 186345'!P22</f>
        <v>131412.06000000003</v>
      </c>
      <c r="Q22" s="135">
        <f>IF(P22&lt;&gt;0,O22/P22,0)</f>
        <v>4.4228992377107555E-2</v>
      </c>
      <c r="R22" s="140">
        <f>'[2]IA Gas - actuals - 186348'!R22+'[2]IA Gas - actuals - 186345'!R22</f>
        <v>390.94929999999999</v>
      </c>
      <c r="S22" s="139">
        <f>'[2]IA Gas - actuals - 186348'!S22+'[2]IA Gas - actuals - 186345'!S22</f>
        <v>1625.5198057555504</v>
      </c>
      <c r="T22" s="137">
        <f>IF(S22&lt;&gt;0,R22/S22,0)</f>
        <v>0.24050725104409582</v>
      </c>
    </row>
    <row r="23" spans="1:20" ht="14.25" x14ac:dyDescent="0.45">
      <c r="A23" s="131">
        <v>98859</v>
      </c>
      <c r="B23" s="131"/>
      <c r="C23" s="131"/>
      <c r="D23" s="14" t="s">
        <v>77</v>
      </c>
      <c r="E23" s="132">
        <f t="shared" si="12"/>
        <v>1</v>
      </c>
      <c r="F23" s="133">
        <f>'[2]IA Gas - actuals - 186348'!F23+'[2]IA Gas - actuals - 186345'!F23</f>
        <v>80910.405749154364</v>
      </c>
      <c r="G23" s="161">
        <f>'[2]IA Gas - actuals - 186348'!G23+'[2]IA Gas - actuals - 186345'!G23</f>
        <v>104965.79359762043</v>
      </c>
      <c r="H23" s="135">
        <f t="shared" ref="H23:H31" si="13">IF(G23&lt;&gt;0,F23/G23,0)</f>
        <v>0.77082640902348776</v>
      </c>
      <c r="I23" s="134">
        <f>'[2]IA Gas - actuals - 186348'!I23+'[2]IA Gas - actuals - 186345'!I23</f>
        <v>267193.89</v>
      </c>
      <c r="J23" s="161">
        <f>'[2]IA Gas - actuals - 186348'!J23+'[2]IA Gas - actuals - 186345'!J23</f>
        <v>618333.65</v>
      </c>
      <c r="K23" s="135">
        <f t="shared" ref="K23:K31" si="14">IF(J23&lt;&gt;0,I23/J23,0)</f>
        <v>0.4321192773513135</v>
      </c>
      <c r="L23" s="136">
        <f t="shared" si="3"/>
        <v>348104.29574915441</v>
      </c>
      <c r="M23" s="161">
        <f t="shared" si="3"/>
        <v>723299.44359762047</v>
      </c>
      <c r="N23" s="137">
        <f t="shared" ref="N23:N31" si="15">IF(M23&lt;&gt;0,L23/M23,0)</f>
        <v>0.48127272712628921</v>
      </c>
      <c r="O23" s="138">
        <f>'[2]IA Gas - actuals - 186348'!O23+'[2]IA Gas - actuals - 186345'!O23</f>
        <v>64552.672200000001</v>
      </c>
      <c r="P23" s="160">
        <f>'[2]IA Gas - actuals - 186348'!P23+'[2]IA Gas - actuals - 186345'!P23</f>
        <v>262622.52000000008</v>
      </c>
      <c r="Q23" s="135">
        <f t="shared" ref="Q23:Q31" si="16">IF(P23&lt;&gt;0,O23/P23,0)</f>
        <v>0.24580021621908121</v>
      </c>
      <c r="R23" s="140">
        <f>'[2]IA Gas - actuals - 186348'!R23+'[2]IA Gas - actuals - 186345'!R23</f>
        <v>494.01469999999995</v>
      </c>
      <c r="S23" s="160">
        <f>'[2]IA Gas - actuals - 186348'!S23+'[2]IA Gas - actuals - 186345'!S23</f>
        <v>2777.9418943438268</v>
      </c>
      <c r="T23" s="137">
        <f t="shared" ref="T23:T31" si="17">IF(S23&lt;&gt;0,R23/S23,0)</f>
        <v>0.17783478517166407</v>
      </c>
    </row>
    <row r="24" spans="1:20" ht="14.25" x14ac:dyDescent="0.45">
      <c r="A24" s="131">
        <v>98872</v>
      </c>
      <c r="B24" s="131"/>
      <c r="C24" s="131"/>
      <c r="D24" s="14" t="s">
        <v>21</v>
      </c>
      <c r="E24" s="132">
        <f t="shared" si="12"/>
        <v>1</v>
      </c>
      <c r="F24" s="133">
        <f>'[2]IA Gas - actuals - 186348'!F24+'[2]IA Gas - actuals - 186345'!F24</f>
        <v>0</v>
      </c>
      <c r="G24" s="161">
        <f>'[2]IA Gas - actuals - 186348'!G24+'[2]IA Gas - actuals - 186345'!G24</f>
        <v>0</v>
      </c>
      <c r="H24" s="135">
        <f t="shared" si="13"/>
        <v>0</v>
      </c>
      <c r="I24" s="134">
        <f>'[2]IA Gas - actuals - 186348'!I24+'[2]IA Gas - actuals - 186345'!I24</f>
        <v>0</v>
      </c>
      <c r="J24" s="134">
        <f>'[2]IA Gas - actuals - 186348'!J24+'[2]IA Gas - actuals - 186345'!J24</f>
        <v>0</v>
      </c>
      <c r="K24" s="135">
        <f t="shared" si="14"/>
        <v>0</v>
      </c>
      <c r="L24" s="136">
        <f t="shared" si="3"/>
        <v>0</v>
      </c>
      <c r="M24" s="161">
        <f t="shared" si="3"/>
        <v>0</v>
      </c>
      <c r="N24" s="137">
        <f t="shared" si="15"/>
        <v>0</v>
      </c>
      <c r="O24" s="138">
        <f>'[2]IA Gas - actuals - 186348'!O24+'[2]IA Gas - actuals - 186345'!O24</f>
        <v>0</v>
      </c>
      <c r="P24" s="139">
        <f>'[2]IA Gas - actuals - 186348'!P24+'[2]IA Gas - actuals - 186345'!P24</f>
        <v>0</v>
      </c>
      <c r="Q24" s="135">
        <f t="shared" si="16"/>
        <v>0</v>
      </c>
      <c r="R24" s="140">
        <f>'[2]IA Gas - actuals - 186348'!R24+'[2]IA Gas - actuals - 186345'!R24</f>
        <v>0</v>
      </c>
      <c r="S24" s="139">
        <f>'[2]IA Gas - actuals - 186348'!S24+'[2]IA Gas - actuals - 186345'!S24</f>
        <v>0</v>
      </c>
      <c r="T24" s="137">
        <f t="shared" si="17"/>
        <v>0</v>
      </c>
    </row>
    <row r="25" spans="1:20" s="15" customFormat="1" ht="14.25" x14ac:dyDescent="0.45">
      <c r="A25" s="131">
        <v>98648</v>
      </c>
      <c r="B25" s="131"/>
      <c r="C25" s="131"/>
      <c r="D25" s="14" t="s">
        <v>22</v>
      </c>
      <c r="E25" s="132">
        <f t="shared" si="12"/>
        <v>1</v>
      </c>
      <c r="F25" s="133">
        <f>'[2]IA Gas - actuals - 186348'!F25+'[2]IA Gas - actuals - 186345'!F25</f>
        <v>0</v>
      </c>
      <c r="G25" s="161">
        <f>'[2]IA Gas - actuals - 186348'!G25+'[2]IA Gas - actuals - 186345'!G25</f>
        <v>0</v>
      </c>
      <c r="H25" s="135">
        <f t="shared" si="13"/>
        <v>0</v>
      </c>
      <c r="I25" s="134">
        <f>'[2]IA Gas - actuals - 186348'!I25+'[2]IA Gas - actuals - 186345'!I25</f>
        <v>0</v>
      </c>
      <c r="J25" s="134">
        <f>'[2]IA Gas - actuals - 186348'!J25+'[2]IA Gas - actuals - 186345'!J25</f>
        <v>0</v>
      </c>
      <c r="K25" s="135">
        <f t="shared" si="14"/>
        <v>0</v>
      </c>
      <c r="L25" s="136">
        <f t="shared" si="3"/>
        <v>0</v>
      </c>
      <c r="M25" s="161">
        <f t="shared" si="3"/>
        <v>0</v>
      </c>
      <c r="N25" s="137">
        <f t="shared" si="15"/>
        <v>0</v>
      </c>
      <c r="O25" s="138">
        <f>'[2]IA Gas - actuals - 186348'!O25+'[2]IA Gas - actuals - 186345'!O25</f>
        <v>0</v>
      </c>
      <c r="P25" s="139">
        <f>'[2]IA Gas - actuals - 186348'!P25+'[2]IA Gas - actuals - 186345'!P25</f>
        <v>0</v>
      </c>
      <c r="Q25" s="135">
        <f t="shared" si="16"/>
        <v>0</v>
      </c>
      <c r="R25" s="140">
        <f>'[2]IA Gas - actuals - 186348'!R25+'[2]IA Gas - actuals - 186345'!R25</f>
        <v>0</v>
      </c>
      <c r="S25" s="139">
        <f>'[2]IA Gas - actuals - 186348'!S25+'[2]IA Gas - actuals - 186345'!S25</f>
        <v>0</v>
      </c>
      <c r="T25" s="137">
        <f t="shared" si="17"/>
        <v>0</v>
      </c>
    </row>
    <row r="26" spans="1:20" ht="14.25" x14ac:dyDescent="0.45">
      <c r="A26" s="131">
        <v>98851</v>
      </c>
      <c r="B26" s="131"/>
      <c r="C26" s="131"/>
      <c r="D26" s="14" t="s">
        <v>47</v>
      </c>
      <c r="E26" s="132">
        <f t="shared" si="12"/>
        <v>1</v>
      </c>
      <c r="F26" s="133">
        <f>'[2]IA Gas - actuals - 186348'!F26+'[2]IA Gas - actuals - 186345'!F26</f>
        <v>200</v>
      </c>
      <c r="G26" s="161">
        <f>'[2]IA Gas - actuals - 186348'!G26+'[2]IA Gas - actuals - 186345'!G26</f>
        <v>0</v>
      </c>
      <c r="H26" s="135">
        <f t="shared" si="13"/>
        <v>0</v>
      </c>
      <c r="I26" s="134">
        <f>'[2]IA Gas - actuals - 186348'!I26+'[2]IA Gas - actuals - 186345'!I26</f>
        <v>-266821.63</v>
      </c>
      <c r="J26" s="134">
        <f>'[2]IA Gas - actuals - 186348'!J26+'[2]IA Gas - actuals - 186345'!J26</f>
        <v>0</v>
      </c>
      <c r="K26" s="135">
        <f t="shared" si="14"/>
        <v>0</v>
      </c>
      <c r="L26" s="136">
        <f>F26+I26</f>
        <v>-266621.63</v>
      </c>
      <c r="M26" s="161">
        <f t="shared" si="3"/>
        <v>0</v>
      </c>
      <c r="N26" s="137">
        <f t="shared" si="15"/>
        <v>0</v>
      </c>
      <c r="O26" s="138">
        <f>'[2]IA Gas - actuals - 186348'!O26+'[2]IA Gas - actuals - 186345'!O26</f>
        <v>72949</v>
      </c>
      <c r="P26" s="139">
        <f>'[2]IA Gas - actuals - 186348'!P26+'[2]IA Gas - actuals - 186345'!P26</f>
        <v>0</v>
      </c>
      <c r="Q26" s="135">
        <f t="shared" si="16"/>
        <v>0</v>
      </c>
      <c r="R26" s="140">
        <f>'[2]IA Gas - actuals - 186348'!R26+'[2]IA Gas - actuals - 186345'!R26</f>
        <v>949</v>
      </c>
      <c r="S26" s="139">
        <f>'[2]IA Gas - actuals - 186348'!S26+'[2]IA Gas - actuals - 186345'!S26</f>
        <v>0</v>
      </c>
      <c r="T26" s="137">
        <f t="shared" si="17"/>
        <v>0</v>
      </c>
    </row>
    <row r="27" spans="1:20" ht="14.25" x14ac:dyDescent="0.45">
      <c r="A27" s="131">
        <v>98850</v>
      </c>
      <c r="B27" s="131">
        <v>186348</v>
      </c>
      <c r="C27" s="131"/>
      <c r="D27" s="14" t="s">
        <v>97</v>
      </c>
      <c r="E27" s="132">
        <f t="shared" si="12"/>
        <v>1</v>
      </c>
      <c r="F27" s="133">
        <f>'[2]IA Gas - actuals - 186348'!F27</f>
        <v>107486.50318217774</v>
      </c>
      <c r="G27" s="161">
        <f>'[2]IA Gas - actuals - 186348'!G27</f>
        <v>37236.777320516667</v>
      </c>
      <c r="H27" s="135">
        <f t="shared" si="13"/>
        <v>2.8865683583996669</v>
      </c>
      <c r="I27" s="134">
        <f>'[2]IA Gas - actuals - 186348'!I27</f>
        <v>124486.58</v>
      </c>
      <c r="J27" s="134">
        <f>'[2]IA Gas - actuals - 186348'!J27</f>
        <v>929546.7320111685</v>
      </c>
      <c r="K27" s="135">
        <f t="shared" si="14"/>
        <v>0.13392180910653162</v>
      </c>
      <c r="L27" s="136">
        <f t="shared" ref="L27:L30" si="18">F27+I27</f>
        <v>231973.08318217774</v>
      </c>
      <c r="M27" s="161">
        <f t="shared" si="3"/>
        <v>966783.50933168514</v>
      </c>
      <c r="N27" s="137">
        <f t="shared" si="15"/>
        <v>0.23994315267389627</v>
      </c>
      <c r="O27" s="138">
        <f>'[2]IA Gas - actuals - 186348'!O27</f>
        <v>28661.237400000002</v>
      </c>
      <c r="P27" s="139">
        <f>'[2]IA Gas - actuals - 186348'!P27</f>
        <v>253750</v>
      </c>
      <c r="Q27" s="135">
        <f t="shared" si="16"/>
        <v>0.11295068926108374</v>
      </c>
      <c r="R27" s="140">
        <f>'[2]IA Gas - actuals - 186348'!R27</f>
        <v>272.08170000000001</v>
      </c>
      <c r="S27" s="139">
        <f>'[2]IA Gas - actuals - 186348'!S27</f>
        <v>3863.8756320948887</v>
      </c>
      <c r="T27" s="137">
        <f t="shared" si="17"/>
        <v>7.041678509007411E-2</v>
      </c>
    </row>
    <row r="28" spans="1:20" ht="14.25" x14ac:dyDescent="0.45">
      <c r="A28" s="131">
        <v>98850</v>
      </c>
      <c r="B28" s="131">
        <v>186345</v>
      </c>
      <c r="C28" s="131"/>
      <c r="D28" s="14" t="s">
        <v>43</v>
      </c>
      <c r="E28" s="132">
        <f t="shared" si="12"/>
        <v>1</v>
      </c>
      <c r="F28" s="133">
        <f>+'[2]IA Gas - actuals - 186345'!F27</f>
        <v>0</v>
      </c>
      <c r="G28" s="161">
        <f>+'[2]IA Gas - actuals - 186345'!G27</f>
        <v>0</v>
      </c>
      <c r="H28" s="135">
        <f t="shared" si="13"/>
        <v>0</v>
      </c>
      <c r="I28" s="134">
        <f>+'[2]IA Gas - actuals - 186345'!I27</f>
        <v>0</v>
      </c>
      <c r="J28" s="134">
        <f>+'[2]IA Gas - actuals - 186345'!J27</f>
        <v>0</v>
      </c>
      <c r="K28" s="135">
        <f t="shared" si="14"/>
        <v>0</v>
      </c>
      <c r="L28" s="136">
        <f t="shared" si="18"/>
        <v>0</v>
      </c>
      <c r="M28" s="161">
        <f t="shared" si="3"/>
        <v>0</v>
      </c>
      <c r="N28" s="137">
        <f t="shared" si="15"/>
        <v>0</v>
      </c>
      <c r="O28" s="138">
        <f>+'[2]IA Gas - actuals - 186345'!O27</f>
        <v>0</v>
      </c>
      <c r="P28" s="139">
        <f>+'[2]IA Gas - actuals - 186345'!P27</f>
        <v>0</v>
      </c>
      <c r="Q28" s="135">
        <f t="shared" si="16"/>
        <v>0</v>
      </c>
      <c r="R28" s="140">
        <f>+'[2]IA Gas - actuals - 186345'!R27</f>
        <v>0</v>
      </c>
      <c r="S28" s="139">
        <f>+'[2]IA Gas - actuals - 186345'!S27</f>
        <v>0</v>
      </c>
      <c r="T28" s="137">
        <f t="shared" si="17"/>
        <v>0</v>
      </c>
    </row>
    <row r="29" spans="1:20" ht="14.25" x14ac:dyDescent="0.45">
      <c r="A29" s="131">
        <v>98868</v>
      </c>
      <c r="B29" s="131"/>
      <c r="C29" s="131"/>
      <c r="D29" s="14" t="s">
        <v>95</v>
      </c>
      <c r="E29" s="132">
        <f t="shared" si="12"/>
        <v>1</v>
      </c>
      <c r="F29" s="133">
        <f>'[2]IA Gas - actuals - 186348'!F28+'[2]IA Gas - actuals - 186345'!F28</f>
        <v>0</v>
      </c>
      <c r="G29" s="161">
        <f>'[2]IA Gas - actuals - 186348'!G28+'[2]IA Gas - actuals - 186345'!G28</f>
        <v>0</v>
      </c>
      <c r="H29" s="135">
        <f t="shared" si="13"/>
        <v>0</v>
      </c>
      <c r="I29" s="134">
        <f>'[2]IA Gas - actuals - 186348'!I28+'[2]IA Gas - actuals - 186345'!I28</f>
        <v>0</v>
      </c>
      <c r="J29" s="134">
        <f>'[2]IA Gas - actuals - 186348'!J28+'[2]IA Gas - actuals - 186345'!J28</f>
        <v>0</v>
      </c>
      <c r="K29" s="135">
        <f t="shared" si="14"/>
        <v>0</v>
      </c>
      <c r="L29" s="136">
        <f t="shared" si="18"/>
        <v>0</v>
      </c>
      <c r="M29" s="161">
        <f t="shared" si="3"/>
        <v>0</v>
      </c>
      <c r="N29" s="137">
        <f t="shared" si="15"/>
        <v>0</v>
      </c>
      <c r="O29" s="138">
        <f>'[2]IA Gas - actuals - 186348'!O28+'[2]IA Gas - actuals - 186345'!O28</f>
        <v>0</v>
      </c>
      <c r="P29" s="139">
        <f>'[2]IA Gas - actuals - 186348'!P28+'[2]IA Gas - actuals - 186345'!P28</f>
        <v>0</v>
      </c>
      <c r="Q29" s="135">
        <f t="shared" si="16"/>
        <v>0</v>
      </c>
      <c r="R29" s="140">
        <f>'[2]IA Gas - actuals - 186348'!R28+'[2]IA Gas - actuals - 186345'!R28</f>
        <v>0</v>
      </c>
      <c r="S29" s="139">
        <f>'[2]IA Gas - actuals - 186348'!S28+'[2]IA Gas - actuals - 186345'!S28</f>
        <v>0</v>
      </c>
      <c r="T29" s="137">
        <f t="shared" si="17"/>
        <v>0</v>
      </c>
    </row>
    <row r="30" spans="1:20" ht="14.25" x14ac:dyDescent="0.45">
      <c r="A30" s="131">
        <v>98866</v>
      </c>
      <c r="B30" s="131"/>
      <c r="C30" s="131"/>
      <c r="D30" s="14" t="s">
        <v>96</v>
      </c>
      <c r="E30" s="132">
        <f t="shared" si="12"/>
        <v>1</v>
      </c>
      <c r="F30" s="133">
        <f>'[2]IA Gas - actuals - 186348'!F29+'[2]IA Gas - actuals - 186345'!F29</f>
        <v>0</v>
      </c>
      <c r="G30" s="161">
        <f>'[2]IA Gas - actuals - 186348'!G29+'[2]IA Gas - actuals - 186345'!G29</f>
        <v>0</v>
      </c>
      <c r="H30" s="135">
        <f t="shared" si="13"/>
        <v>0</v>
      </c>
      <c r="I30" s="134">
        <f>'[2]IA Gas - actuals - 186348'!I29+'[2]IA Gas - actuals - 186345'!I29</f>
        <v>0</v>
      </c>
      <c r="J30" s="134">
        <f>'[2]IA Gas - actuals - 186348'!J29+'[2]IA Gas - actuals - 186345'!J29</f>
        <v>0</v>
      </c>
      <c r="K30" s="135">
        <f t="shared" si="14"/>
        <v>0</v>
      </c>
      <c r="L30" s="136">
        <f t="shared" si="18"/>
        <v>0</v>
      </c>
      <c r="M30" s="161">
        <f t="shared" si="3"/>
        <v>0</v>
      </c>
      <c r="N30" s="137">
        <f t="shared" si="15"/>
        <v>0</v>
      </c>
      <c r="O30" s="138">
        <f>'[2]IA Gas - actuals - 186348'!O29+'[2]IA Gas - actuals - 186345'!O29</f>
        <v>0</v>
      </c>
      <c r="P30" s="139">
        <f>'[2]IA Gas - actuals - 186348'!P29+'[2]IA Gas - actuals - 186345'!P29</f>
        <v>0</v>
      </c>
      <c r="Q30" s="135">
        <f t="shared" si="16"/>
        <v>0</v>
      </c>
      <c r="R30" s="140">
        <f>'[2]IA Gas - actuals - 186348'!R29+'[2]IA Gas - actuals - 186345'!R29</f>
        <v>0</v>
      </c>
      <c r="S30" s="160">
        <f>'[2]IA Gas - actuals - 186348'!S29+'[2]IA Gas - actuals - 186345'!S29</f>
        <v>0</v>
      </c>
      <c r="T30" s="137">
        <f t="shared" si="17"/>
        <v>0</v>
      </c>
    </row>
    <row r="31" spans="1:20" ht="14.65" thickBot="1" x14ac:dyDescent="0.5">
      <c r="A31" s="131">
        <v>98864</v>
      </c>
      <c r="B31" s="131"/>
      <c r="C31" s="131"/>
      <c r="D31" s="14" t="s">
        <v>44</v>
      </c>
      <c r="E31" s="132">
        <f t="shared" si="12"/>
        <v>1</v>
      </c>
      <c r="F31" s="141">
        <f>'[2]IA Gas - actuals - 186348'!F30+'[2]IA Gas - actuals - 186345'!F30</f>
        <v>53847.70053736517</v>
      </c>
      <c r="G31" s="162">
        <f>'[2]IA Gas - actuals - 186348'!G30+'[2]IA Gas - actuals - 186345'!G30</f>
        <v>120000</v>
      </c>
      <c r="H31" s="135">
        <f t="shared" si="13"/>
        <v>0.4487308378113764</v>
      </c>
      <c r="I31" s="142">
        <f>'[2]IA Gas - actuals - 186348'!I30+'[2]IA Gas - actuals - 186345'!I30</f>
        <v>0</v>
      </c>
      <c r="J31" s="162">
        <f>'[2]IA Gas - actuals - 186348'!J30+'[2]IA Gas - actuals - 186345'!J30</f>
        <v>0</v>
      </c>
      <c r="K31" s="135">
        <f t="shared" si="14"/>
        <v>0</v>
      </c>
      <c r="L31" s="143">
        <f t="shared" si="3"/>
        <v>53847.70053736517</v>
      </c>
      <c r="M31" s="162">
        <f t="shared" si="3"/>
        <v>120000</v>
      </c>
      <c r="N31" s="137">
        <f t="shared" si="15"/>
        <v>0.4487308378113764</v>
      </c>
      <c r="O31" s="144">
        <f>'[2]IA Gas - actuals - 186348'!O30+'[2]IA Gas - actuals - 186345'!O30</f>
        <v>0</v>
      </c>
      <c r="P31" s="145">
        <f>'[2]IA Gas - actuals - 186348'!P30+'[2]IA Gas - actuals - 186345'!P30</f>
        <v>0</v>
      </c>
      <c r="Q31" s="135">
        <f t="shared" si="16"/>
        <v>0</v>
      </c>
      <c r="R31" s="146">
        <f>'[2]IA Gas - actuals - 186348'!R30+'[2]IA Gas - actuals - 186345'!R30</f>
        <v>0</v>
      </c>
      <c r="S31" s="145">
        <f>'[2]IA Gas - actuals - 186348'!S30+'[2]IA Gas - actuals - 186345'!S30</f>
        <v>0</v>
      </c>
      <c r="T31" s="137">
        <f t="shared" si="17"/>
        <v>0</v>
      </c>
    </row>
    <row r="32" spans="1:20" ht="15" thickTop="1" thickBot="1" x14ac:dyDescent="0.5">
      <c r="A32" s="147"/>
      <c r="B32" s="147"/>
      <c r="C32" s="147"/>
      <c r="D32" s="16" t="s">
        <v>48</v>
      </c>
      <c r="E32" s="163"/>
      <c r="F32" s="149">
        <f>SUM(F22:F31)</f>
        <v>345278.21597559459</v>
      </c>
      <c r="G32" s="150">
        <f>SUM(G22:G31)</f>
        <v>410006.99691813713</v>
      </c>
      <c r="H32" s="151">
        <f t="shared" si="7"/>
        <v>0.84212761872581798</v>
      </c>
      <c r="I32" s="150">
        <f>SUM(I22:I31)</f>
        <v>180175.39</v>
      </c>
      <c r="J32" s="150">
        <f>SUM(J22:J31)</f>
        <v>1688165.3320111686</v>
      </c>
      <c r="K32" s="151">
        <f t="shared" si="8"/>
        <v>0.10672852153962371</v>
      </c>
      <c r="L32" s="152">
        <f>SUM(L22:L31)</f>
        <v>525453.6059755946</v>
      </c>
      <c r="M32" s="150">
        <f>SUM(M22:M31)</f>
        <v>2098172.3289293055</v>
      </c>
      <c r="N32" s="153">
        <f t="shared" si="9"/>
        <v>0.25043396041912958</v>
      </c>
      <c r="O32" s="154">
        <f>SUM(O22:O31)</f>
        <v>171975.13260000001</v>
      </c>
      <c r="P32" s="155">
        <f>SUM(P22:P31)</f>
        <v>647784.58000000007</v>
      </c>
      <c r="Q32" s="156">
        <f>O32/P32</f>
        <v>0.26548197951856156</v>
      </c>
      <c r="R32" s="155">
        <f>SUM(R22:R31)</f>
        <v>2106.0457000000001</v>
      </c>
      <c r="S32" s="155">
        <f>SUM(S22:S31)</f>
        <v>8267.3373321942654</v>
      </c>
      <c r="T32" s="157">
        <f>R32/S32</f>
        <v>0.25474292572999757</v>
      </c>
    </row>
    <row r="33" spans="1:20" ht="14.65" thickTop="1" x14ac:dyDescent="0.45">
      <c r="A33" s="147"/>
      <c r="B33" s="147"/>
      <c r="C33" s="147"/>
      <c r="D33" s="16"/>
      <c r="E33" s="163"/>
      <c r="F33" s="149"/>
      <c r="G33" s="150"/>
      <c r="H33" s="151"/>
      <c r="I33" s="150"/>
      <c r="J33" s="150"/>
      <c r="K33" s="151"/>
      <c r="L33" s="152"/>
      <c r="M33" s="150"/>
      <c r="N33" s="157"/>
      <c r="O33" s="154"/>
      <c r="P33" s="155"/>
      <c r="Q33" s="151"/>
      <c r="R33" s="155"/>
      <c r="S33" s="155"/>
      <c r="T33" s="137"/>
    </row>
    <row r="34" spans="1:20" ht="14.25" customHeight="1" x14ac:dyDescent="0.45">
      <c r="A34" s="147"/>
      <c r="B34" s="147"/>
      <c r="C34" s="147"/>
      <c r="D34" s="17" t="s">
        <v>72</v>
      </c>
      <c r="E34" s="163"/>
      <c r="F34" s="149"/>
      <c r="G34" s="150"/>
      <c r="H34" s="151"/>
      <c r="I34" s="150"/>
      <c r="J34" s="150"/>
      <c r="K34" s="151"/>
      <c r="L34" s="152"/>
      <c r="M34" s="150"/>
      <c r="N34" s="157"/>
      <c r="O34" s="154"/>
      <c r="P34" s="155"/>
      <c r="Q34" s="151"/>
      <c r="R34" s="155"/>
      <c r="S34" s="155"/>
      <c r="T34" s="137"/>
    </row>
    <row r="35" spans="1:20" ht="14.25" x14ac:dyDescent="0.45">
      <c r="A35" s="131">
        <v>98645</v>
      </c>
      <c r="B35" s="131"/>
      <c r="C35" s="131"/>
      <c r="D35" s="14" t="s">
        <v>91</v>
      </c>
      <c r="E35" s="132">
        <f>MONTH($A$7)/12</f>
        <v>1</v>
      </c>
      <c r="F35" s="133">
        <f>'[2]IA Gas - actuals - 186348'!F34+'[2]IA Gas - actuals - 186345'!F34</f>
        <v>15297.87</v>
      </c>
      <c r="G35" s="161">
        <f>'[2]IA Gas - actuals - 186348'!G34+'[2]IA Gas - actuals - 186345'!G34</f>
        <v>45000</v>
      </c>
      <c r="H35" s="135">
        <f t="shared" ref="H35:H36" si="19">IF(G35&lt;&gt;0,F35/G35,0)</f>
        <v>0.33995266666666668</v>
      </c>
      <c r="I35" s="134">
        <f>'[2]IA Gas - actuals - 186348'!I34+'[2]IA Gas - actuals - 186345'!I34</f>
        <v>33200</v>
      </c>
      <c r="J35" s="134">
        <f>'[2]IA Gas - actuals - 186348'!J34+'[2]IA Gas - actuals - 186345'!J34</f>
        <v>0</v>
      </c>
      <c r="K35" s="135">
        <f t="shared" ref="K35:K37" si="20">IF(J35&lt;&gt;0,I35/J35,0)</f>
        <v>0</v>
      </c>
      <c r="L35" s="136">
        <f>F35+I35</f>
        <v>48497.87</v>
      </c>
      <c r="M35" s="161">
        <f t="shared" ref="M35:M36" si="21">G35+J35</f>
        <v>45000</v>
      </c>
      <c r="N35" s="137">
        <f t="shared" ref="N35:N36" si="22">IF(M35&lt;&gt;0,L35/M35,0)</f>
        <v>1.0777304444444444</v>
      </c>
      <c r="O35" s="138">
        <f>'[2]IA Gas - actuals - 186348'!O34+'[2]IA Gas - actuals - 186345'!O34</f>
        <v>0</v>
      </c>
      <c r="P35" s="139">
        <f>'[2]IA Gas - actuals - 186348'!P34+'[2]IA Gas - actuals - 186345'!P34</f>
        <v>0</v>
      </c>
      <c r="Q35" s="135">
        <f t="shared" ref="Q35:Q36" si="23">IF(P35&lt;&gt;0,O35/P35,0)</f>
        <v>0</v>
      </c>
      <c r="R35" s="140">
        <f>'[2]IA Gas - actuals - 186348'!R34+'[2]IA Gas - actuals - 186345'!R34</f>
        <v>0</v>
      </c>
      <c r="S35" s="139">
        <f>'[2]IA Gas - actuals - 186348'!S34+'[2]IA Gas - actuals - 186345'!S34</f>
        <v>0</v>
      </c>
      <c r="T35" s="137">
        <f t="shared" ref="T35:T36" si="24">IF(S35&lt;&gt;0,R35/S35,0)</f>
        <v>0</v>
      </c>
    </row>
    <row r="36" spans="1:20" ht="14.65" thickBot="1" x14ac:dyDescent="0.5">
      <c r="A36" s="131">
        <v>98656</v>
      </c>
      <c r="B36" s="131"/>
      <c r="C36" s="131"/>
      <c r="D36" s="14" t="s">
        <v>98</v>
      </c>
      <c r="E36" s="132">
        <f>MONTH($A$7)/12</f>
        <v>1</v>
      </c>
      <c r="F36" s="141">
        <f>'[2]IA Gas - actuals - 186348'!F35+'[2]IA Gas - actuals - 186345'!F35</f>
        <v>394114.65</v>
      </c>
      <c r="G36" s="162">
        <f>'[2]IA Gas - actuals - 186348'!G35+'[2]IA Gas - actuals - 186345'!G35</f>
        <v>500000</v>
      </c>
      <c r="H36" s="135">
        <f t="shared" si="19"/>
        <v>0.78822930000000002</v>
      </c>
      <c r="I36" s="142">
        <f>'[2]IA Gas - actuals - 186348'!I35+'[2]IA Gas - actuals - 186345'!I35</f>
        <v>0</v>
      </c>
      <c r="J36" s="162">
        <f>'[2]IA Gas - actuals - 186348'!J35+'[2]IA Gas - actuals - 186345'!J35</f>
        <v>0</v>
      </c>
      <c r="K36" s="135">
        <f t="shared" si="20"/>
        <v>0</v>
      </c>
      <c r="L36" s="143">
        <f t="shared" ref="L36" si="25">F36+I36</f>
        <v>394114.65</v>
      </c>
      <c r="M36" s="162">
        <f t="shared" si="21"/>
        <v>500000</v>
      </c>
      <c r="N36" s="137">
        <f t="shared" si="22"/>
        <v>0.78822930000000002</v>
      </c>
      <c r="O36" s="144">
        <f>'[2]IA Gas - actuals - 186348'!O35+'[2]IA Gas - actuals - 186345'!O35</f>
        <v>0</v>
      </c>
      <c r="P36" s="145">
        <f>'[2]IA Gas - actuals - 186348'!P35+'[2]IA Gas - actuals - 186345'!P35</f>
        <v>0</v>
      </c>
      <c r="Q36" s="135">
        <f t="shared" si="23"/>
        <v>0</v>
      </c>
      <c r="R36" s="146">
        <f>'[2]IA Gas - actuals - 186348'!R35+'[2]IA Gas - actuals - 186345'!R35</f>
        <v>0</v>
      </c>
      <c r="S36" s="145">
        <f>'[2]IA Gas - actuals - 186348'!S35+'[2]IA Gas - actuals - 186345'!S35</f>
        <v>0</v>
      </c>
      <c r="T36" s="137">
        <f t="shared" si="24"/>
        <v>0</v>
      </c>
    </row>
    <row r="37" spans="1:20" ht="15" thickTop="1" thickBot="1" x14ac:dyDescent="0.5">
      <c r="A37" s="147"/>
      <c r="B37" s="147"/>
      <c r="C37" s="147"/>
      <c r="D37" s="16" t="s">
        <v>99</v>
      </c>
      <c r="E37" s="163"/>
      <c r="F37" s="149">
        <f>SUM(F35:F36)</f>
        <v>409412.52</v>
      </c>
      <c r="G37" s="150">
        <f>SUM(G35:G36)</f>
        <v>545000</v>
      </c>
      <c r="H37" s="151">
        <f t="shared" ref="H37" si="26">F37/G37</f>
        <v>0.75121563302752292</v>
      </c>
      <c r="I37" s="150">
        <f>SUM(I35:I36)</f>
        <v>33200</v>
      </c>
      <c r="J37" s="150">
        <f>SUM(J35:J36)</f>
        <v>0</v>
      </c>
      <c r="K37" s="151">
        <f t="shared" si="20"/>
        <v>0</v>
      </c>
      <c r="L37" s="152">
        <f>SUM(L35:L36)</f>
        <v>442612.52</v>
      </c>
      <c r="M37" s="150">
        <f>SUM(M35:M36)</f>
        <v>545000</v>
      </c>
      <c r="N37" s="153">
        <f t="shared" ref="N37" si="27">L37/M37</f>
        <v>0.8121330642201835</v>
      </c>
      <c r="O37" s="154">
        <f>SUM(O35:O36)</f>
        <v>0</v>
      </c>
      <c r="P37" s="155">
        <f>SUM(P35:P36)</f>
        <v>0</v>
      </c>
      <c r="Q37" s="153">
        <f>IF(P37=0,0,O37/P37)</f>
        <v>0</v>
      </c>
      <c r="R37" s="155">
        <f>SUM(R35:R36)</f>
        <v>0</v>
      </c>
      <c r="S37" s="155">
        <f>SUM(S35:S36)</f>
        <v>0</v>
      </c>
      <c r="T37" s="137">
        <f t="shared" ref="T37" si="28">IF(S37=0,0,R37/S37)</f>
        <v>0</v>
      </c>
    </row>
    <row r="38" spans="1:20" ht="13.15" thickTop="1" x14ac:dyDescent="0.35">
      <c r="E38" s="114"/>
      <c r="F38" s="164"/>
      <c r="H38" s="159"/>
      <c r="I38" s="136"/>
      <c r="K38" s="159"/>
      <c r="L38" s="136"/>
      <c r="N38" s="165"/>
      <c r="O38" s="138"/>
      <c r="Q38" s="135"/>
      <c r="R38" s="140"/>
      <c r="S38" s="160"/>
      <c r="T38" s="137"/>
    </row>
    <row r="39" spans="1:20" ht="14.25" x14ac:dyDescent="0.45">
      <c r="D39" s="18" t="s">
        <v>9</v>
      </c>
      <c r="E39" s="114"/>
      <c r="F39" s="164"/>
      <c r="H39" s="159"/>
      <c r="I39" s="166"/>
      <c r="K39" s="159"/>
      <c r="L39" s="166"/>
      <c r="N39" s="165"/>
      <c r="O39" s="138"/>
      <c r="Q39" s="135"/>
      <c r="R39" s="160"/>
      <c r="S39" s="160"/>
      <c r="T39" s="137"/>
    </row>
    <row r="40" spans="1:20" ht="14.25" x14ac:dyDescent="0.45">
      <c r="D40" s="19" t="s">
        <v>13</v>
      </c>
      <c r="E40" s="114"/>
      <c r="F40" s="164">
        <f>F19</f>
        <v>579988.51402440527</v>
      </c>
      <c r="G40" s="166">
        <f>G19</f>
        <v>1257773.4357562463</v>
      </c>
      <c r="H40" s="135">
        <f t="shared" ref="H40:H42" si="29">IF(G40&lt;&gt;0,F40/G40,0)</f>
        <v>0.46112320195066175</v>
      </c>
      <c r="I40" s="166">
        <f>I19</f>
        <v>3440716.3899999997</v>
      </c>
      <c r="J40" s="166">
        <f>J19</f>
        <v>2864040.6439507711</v>
      </c>
      <c r="K40" s="135">
        <f t="shared" ref="K40:K42" si="30">IF(J40&lt;&gt;0,I40/J40,0)</f>
        <v>1.20135040585658</v>
      </c>
      <c r="L40" s="166">
        <f>L19</f>
        <v>4020704.9040244049</v>
      </c>
      <c r="M40" s="166">
        <f>M19</f>
        <v>4121814.0797070172</v>
      </c>
      <c r="N40" s="137">
        <f t="shared" ref="N40:N42" si="31">IF(M40&lt;&gt;0,L40/M40,0)</f>
        <v>0.97546973887531596</v>
      </c>
      <c r="O40" s="138">
        <f>O19</f>
        <v>1300728.3242000001</v>
      </c>
      <c r="P40" s="160">
        <f>P19</f>
        <v>1034063.0080000001</v>
      </c>
      <c r="Q40" s="135">
        <f t="shared" ref="Q40:Q42" si="32">IF(P40&lt;&gt;0,O40/P40,0)</f>
        <v>1.2578811098907428</v>
      </c>
      <c r="R40" s="160">
        <f>R19</f>
        <v>18786.818499999998</v>
      </c>
      <c r="S40" s="160">
        <f>S19</f>
        <v>13197.50011167039</v>
      </c>
      <c r="T40" s="137">
        <f t="shared" ref="T40:T42" si="33">IF(S40&lt;&gt;0,R40/S40,0)</f>
        <v>1.4235134185289411</v>
      </c>
    </row>
    <row r="41" spans="1:20" ht="14.25" x14ac:dyDescent="0.45">
      <c r="D41" s="19" t="s">
        <v>14</v>
      </c>
      <c r="E41" s="114"/>
      <c r="F41" s="164">
        <f>F32</f>
        <v>345278.21597559459</v>
      </c>
      <c r="G41" s="166">
        <f t="shared" ref="G41:S41" si="34">G32</f>
        <v>410006.99691813713</v>
      </c>
      <c r="H41" s="135">
        <f t="shared" si="29"/>
        <v>0.84212761872581798</v>
      </c>
      <c r="I41" s="166">
        <f t="shared" si="34"/>
        <v>180175.39</v>
      </c>
      <c r="J41" s="166">
        <f t="shared" si="34"/>
        <v>1688165.3320111686</v>
      </c>
      <c r="K41" s="135">
        <f t="shared" si="30"/>
        <v>0.10672852153962371</v>
      </c>
      <c r="L41" s="166">
        <f t="shared" si="34"/>
        <v>525453.6059755946</v>
      </c>
      <c r="M41" s="166">
        <f t="shared" si="34"/>
        <v>2098172.3289293055</v>
      </c>
      <c r="N41" s="137">
        <f t="shared" si="31"/>
        <v>0.25043396041912958</v>
      </c>
      <c r="O41" s="138">
        <f t="shared" si="34"/>
        <v>171975.13260000001</v>
      </c>
      <c r="P41" s="160">
        <f t="shared" si="34"/>
        <v>647784.58000000007</v>
      </c>
      <c r="Q41" s="135">
        <f t="shared" si="32"/>
        <v>0.26548197951856156</v>
      </c>
      <c r="R41" s="160">
        <f t="shared" si="34"/>
        <v>2106.0457000000001</v>
      </c>
      <c r="S41" s="160">
        <f t="shared" si="34"/>
        <v>8267.3373321942654</v>
      </c>
      <c r="T41" s="137">
        <f t="shared" si="33"/>
        <v>0.25474292572999757</v>
      </c>
    </row>
    <row r="42" spans="1:20" ht="13.15" thickBot="1" x14ac:dyDescent="0.4">
      <c r="D42" s="167" t="s">
        <v>72</v>
      </c>
      <c r="E42" s="114"/>
      <c r="F42" s="164">
        <f>F37</f>
        <v>409412.52</v>
      </c>
      <c r="G42" s="166">
        <f t="shared" ref="G42:S42" si="35">G37</f>
        <v>545000</v>
      </c>
      <c r="H42" s="135">
        <f t="shared" si="29"/>
        <v>0.75121563302752292</v>
      </c>
      <c r="I42" s="166">
        <f t="shared" si="35"/>
        <v>33200</v>
      </c>
      <c r="J42" s="166">
        <f t="shared" si="35"/>
        <v>0</v>
      </c>
      <c r="K42" s="135">
        <f t="shared" si="30"/>
        <v>0</v>
      </c>
      <c r="L42" s="166">
        <f t="shared" si="35"/>
        <v>442612.52</v>
      </c>
      <c r="M42" s="166">
        <f t="shared" si="35"/>
        <v>545000</v>
      </c>
      <c r="N42" s="137">
        <f t="shared" si="31"/>
        <v>0.8121330642201835</v>
      </c>
      <c r="O42" s="138">
        <f t="shared" si="35"/>
        <v>0</v>
      </c>
      <c r="P42" s="160">
        <f t="shared" si="35"/>
        <v>0</v>
      </c>
      <c r="Q42" s="135">
        <f t="shared" si="32"/>
        <v>0</v>
      </c>
      <c r="R42" s="160">
        <f t="shared" si="35"/>
        <v>0</v>
      </c>
      <c r="S42" s="160">
        <f t="shared" si="35"/>
        <v>0</v>
      </c>
      <c r="T42" s="137">
        <f t="shared" si="33"/>
        <v>0</v>
      </c>
    </row>
    <row r="43" spans="1:20" ht="15" thickTop="1" thickBot="1" x14ac:dyDescent="0.5">
      <c r="D43" s="16" t="s">
        <v>57</v>
      </c>
      <c r="E43" s="114"/>
      <c r="F43" s="168">
        <f>SUM(F40:F42)</f>
        <v>1334679.25</v>
      </c>
      <c r="G43" s="169">
        <f>SUM(G40:G42)</f>
        <v>2212780.4326743837</v>
      </c>
      <c r="H43" s="151">
        <f t="shared" ref="H43" si="36">F43/G43</f>
        <v>0.60316840762501511</v>
      </c>
      <c r="I43" s="170">
        <f>SUM(I40:I42)</f>
        <v>3654091.78</v>
      </c>
      <c r="J43" s="169">
        <f>SUM(J40:J42)</f>
        <v>4552205.9759619394</v>
      </c>
      <c r="K43" s="151">
        <f t="shared" ref="K43" si="37">I43/J43</f>
        <v>0.80270791772067018</v>
      </c>
      <c r="L43" s="169">
        <f>SUM(L40:L42)</f>
        <v>4988771.0299999993</v>
      </c>
      <c r="M43" s="169">
        <f>SUM(M40:M42)</f>
        <v>6764986.4086363222</v>
      </c>
      <c r="N43" s="153">
        <f t="shared" ref="N43" si="38">L43/M43</f>
        <v>0.73743991911517082</v>
      </c>
      <c r="O43" s="171">
        <f>SUM(O40:O42)</f>
        <v>1472703.4568000003</v>
      </c>
      <c r="P43" s="172">
        <f>SUM(P40:P42)</f>
        <v>1681847.5880000002</v>
      </c>
      <c r="Q43" s="156">
        <f t="shared" ref="Q43" si="39">O43/P43</f>
        <v>0.87564620439316532</v>
      </c>
      <c r="R43" s="172">
        <f>SUM(R40:R42)</f>
        <v>20892.864199999996</v>
      </c>
      <c r="S43" s="172">
        <f>SUM(S40:S42)</f>
        <v>21464.837443864657</v>
      </c>
      <c r="T43" s="137">
        <f t="shared" ref="T43" si="40">R43/S43</f>
        <v>0.9733530130213891</v>
      </c>
    </row>
    <row r="44" spans="1:20" ht="13.5" thickTop="1" thickBot="1" x14ac:dyDescent="0.4">
      <c r="E44" s="114"/>
      <c r="F44" s="173"/>
      <c r="G44" s="174"/>
      <c r="H44" s="175"/>
      <c r="I44" s="176"/>
      <c r="J44" s="174"/>
      <c r="K44" s="175"/>
      <c r="L44" s="176"/>
      <c r="M44" s="174"/>
      <c r="N44" s="177"/>
      <c r="O44" s="173"/>
      <c r="P44" s="174"/>
      <c r="Q44" s="178"/>
      <c r="R44" s="176"/>
      <c r="S44" s="174"/>
      <c r="T44" s="179"/>
    </row>
    <row r="45" spans="1:20" ht="21" x14ac:dyDescent="0.65">
      <c r="E45" s="251" t="s">
        <v>100</v>
      </c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</row>
    <row r="46" spans="1:20" ht="21" x14ac:dyDescent="0.65">
      <c r="E46" s="251" t="s">
        <v>54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</row>
    <row r="47" spans="1:20" ht="14.25" customHeight="1" x14ac:dyDescent="0.5">
      <c r="E47" s="252">
        <f>E3</f>
        <v>0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</row>
    <row r="48" spans="1:20" ht="14.25" hidden="1" customHeight="1" x14ac:dyDescent="0.35">
      <c r="E48" s="114"/>
      <c r="F48" s="113"/>
      <c r="H48" s="114"/>
      <c r="I48" s="113"/>
      <c r="K48" s="114"/>
      <c r="L48" s="113"/>
      <c r="M48" s="180"/>
    </row>
    <row r="49" spans="1:20" ht="14.25" hidden="1" customHeight="1" x14ac:dyDescent="0.45">
      <c r="D49" s="181" t="s">
        <v>50</v>
      </c>
      <c r="E49" s="182"/>
      <c r="F49" s="113"/>
      <c r="H49" s="114"/>
      <c r="I49" s="113"/>
      <c r="K49" s="114"/>
      <c r="L49" s="113"/>
    </row>
    <row r="50" spans="1:20" ht="14.25" hidden="1" customHeight="1" x14ac:dyDescent="0.45">
      <c r="A50" s="131"/>
      <c r="B50" s="131"/>
      <c r="C50" s="131"/>
      <c r="D50" s="124" t="s">
        <v>13</v>
      </c>
      <c r="E50" s="182"/>
      <c r="F50" s="253" t="s">
        <v>33</v>
      </c>
      <c r="G50" s="254"/>
      <c r="H50" s="254"/>
      <c r="I50" s="255" t="s">
        <v>34</v>
      </c>
      <c r="J50" s="255"/>
      <c r="K50" s="255"/>
      <c r="L50" s="254" t="s">
        <v>35</v>
      </c>
      <c r="M50" s="254"/>
      <c r="N50" s="256"/>
      <c r="O50" s="257" t="s">
        <v>55</v>
      </c>
      <c r="P50" s="258"/>
      <c r="Q50" s="258"/>
      <c r="R50" s="258" t="s">
        <v>56</v>
      </c>
      <c r="S50" s="258"/>
      <c r="T50" s="259"/>
    </row>
    <row r="51" spans="1:20" ht="14.25" hidden="1" customHeight="1" x14ac:dyDescent="0.45">
      <c r="A51" s="131">
        <v>98861</v>
      </c>
      <c r="B51" s="131"/>
      <c r="C51" s="131" t="str">
        <f>TEXT($A$4+0,"000000")&amp;TEXT(YEAR($A$7),"0000")&amp;TEXT(A51+0,"00000")&amp;TEXT($A$8,"00")</f>
        <v>18634820219886112</v>
      </c>
      <c r="D51" s="14" t="s">
        <v>101</v>
      </c>
      <c r="E51" s="132">
        <f>MONTH($A$7)/12</f>
        <v>1</v>
      </c>
      <c r="F51" s="134">
        <v>0</v>
      </c>
      <c r="G51" s="134"/>
      <c r="H51" s="183"/>
      <c r="I51" s="134">
        <v>0</v>
      </c>
      <c r="J51" s="134"/>
      <c r="K51" s="183"/>
      <c r="L51" s="166">
        <f>F51+I51</f>
        <v>0</v>
      </c>
      <c r="M51" s="134"/>
      <c r="N51" s="183"/>
      <c r="O51" s="160">
        <v>0</v>
      </c>
      <c r="P51" s="160"/>
      <c r="Q51" s="183"/>
      <c r="R51" s="160">
        <v>0</v>
      </c>
      <c r="S51" s="160"/>
      <c r="T51" s="183"/>
    </row>
    <row r="52" spans="1:20" ht="14.25" x14ac:dyDescent="0.45">
      <c r="A52" s="131"/>
      <c r="B52" s="131"/>
      <c r="C52" s="131"/>
      <c r="E52" s="182"/>
      <c r="F52" s="184">
        <f>SUM(F51)</f>
        <v>0</v>
      </c>
      <c r="H52" s="114"/>
      <c r="I52" s="184">
        <f>SUM(I51)</f>
        <v>0</v>
      </c>
      <c r="K52" s="114"/>
      <c r="L52" s="184">
        <f>SUM(L51)</f>
        <v>0</v>
      </c>
      <c r="O52" s="185">
        <f>SUM(O51)</f>
        <v>0</v>
      </c>
      <c r="R52" s="185">
        <f>SUM(R51)</f>
        <v>0</v>
      </c>
    </row>
    <row r="53" spans="1:20" ht="14.25" x14ac:dyDescent="0.45">
      <c r="A53" s="131"/>
      <c r="B53" s="131"/>
      <c r="C53" s="131"/>
      <c r="D53" s="124" t="s">
        <v>46</v>
      </c>
      <c r="E53" s="182"/>
      <c r="F53" s="186"/>
      <c r="H53" s="114"/>
      <c r="I53" s="166"/>
      <c r="K53" s="114"/>
      <c r="L53" s="166"/>
    </row>
    <row r="54" spans="1:20" ht="14.25" x14ac:dyDescent="0.45">
      <c r="A54" s="131">
        <v>98859</v>
      </c>
      <c r="B54" s="131"/>
      <c r="C54" s="131" t="str">
        <f>TEXT($A$4+0,"000000")&amp;TEXT(YEAR($A$7),"0000")&amp;TEXT(A54+0,"00000")&amp;TEXT($A$8,"00")</f>
        <v>18634820219885912</v>
      </c>
      <c r="D54" s="14" t="s">
        <v>51</v>
      </c>
      <c r="E54" s="132">
        <f>MONTH($A$7)/12</f>
        <v>1</v>
      </c>
      <c r="F54" s="134">
        <v>80910.405749154364</v>
      </c>
      <c r="G54" s="134"/>
      <c r="H54" s="183"/>
      <c r="I54" s="134">
        <v>267193.89</v>
      </c>
      <c r="J54" s="161"/>
      <c r="K54" s="183"/>
      <c r="L54" s="166">
        <f>F54+I54</f>
        <v>348104.29574915441</v>
      </c>
      <c r="M54" s="161"/>
      <c r="N54" s="183"/>
      <c r="O54" s="160">
        <v>64552.672200000001</v>
      </c>
      <c r="P54" s="160"/>
      <c r="Q54" s="183"/>
      <c r="R54" s="160">
        <v>494.01469999999995</v>
      </c>
      <c r="S54" s="160"/>
      <c r="T54" s="183"/>
    </row>
    <row r="55" spans="1:20" ht="14.25" x14ac:dyDescent="0.45">
      <c r="A55" s="131">
        <v>98649</v>
      </c>
      <c r="B55" s="131"/>
      <c r="C55" s="131" t="str">
        <f>TEXT($A$4+0,"000000")&amp;TEXT(YEAR($A$7),"0000")&amp;TEXT(A55+0,"00000")&amp;TEXT($A$8,"00")</f>
        <v>18634820219864912</v>
      </c>
      <c r="D55" s="14" t="s">
        <v>102</v>
      </c>
      <c r="E55" s="132">
        <f>MONTH($A$7)/12</f>
        <v>1</v>
      </c>
      <c r="F55" s="134">
        <v>0</v>
      </c>
      <c r="G55" s="134"/>
      <c r="H55" s="183"/>
      <c r="I55" s="134">
        <v>0</v>
      </c>
      <c r="J55" s="161"/>
      <c r="K55" s="183"/>
      <c r="L55" s="166">
        <f>F55+I55</f>
        <v>0</v>
      </c>
      <c r="M55" s="161"/>
      <c r="N55" s="183"/>
      <c r="O55" s="160">
        <v>0</v>
      </c>
      <c r="P55" s="160"/>
      <c r="Q55" s="183"/>
      <c r="R55" s="160">
        <v>0</v>
      </c>
      <c r="S55" s="160"/>
      <c r="T55" s="183"/>
    </row>
    <row r="56" spans="1:20" ht="14.25" x14ac:dyDescent="0.45">
      <c r="A56" s="131">
        <v>98860</v>
      </c>
      <c r="B56" s="131"/>
      <c r="C56" s="131" t="str">
        <f>TEXT($A$4+0,"000000")&amp;TEXT(YEAR($A$7),"0000")&amp;TEXT(A56+0,"00000")&amp;TEXT($A$8,"00")</f>
        <v>18634820219886012</v>
      </c>
      <c r="D56" s="14" t="s">
        <v>101</v>
      </c>
      <c r="E56" s="132">
        <f>MONTH($A$7)/12</f>
        <v>1</v>
      </c>
      <c r="F56" s="134">
        <v>0</v>
      </c>
      <c r="G56" s="134"/>
      <c r="H56" s="183"/>
      <c r="I56" s="134">
        <v>0</v>
      </c>
      <c r="J56" s="161"/>
      <c r="K56" s="183"/>
      <c r="L56" s="166">
        <f>F56+I56</f>
        <v>0</v>
      </c>
      <c r="M56" s="161"/>
      <c r="N56" s="183"/>
      <c r="O56" s="160">
        <v>0</v>
      </c>
      <c r="P56" s="160"/>
      <c r="Q56" s="183"/>
      <c r="R56" s="160">
        <v>0</v>
      </c>
      <c r="S56" s="160"/>
      <c r="T56" s="183"/>
    </row>
    <row r="57" spans="1:20" x14ac:dyDescent="0.35">
      <c r="E57" s="114"/>
      <c r="F57" s="187">
        <f>SUM(F54:F56)</f>
        <v>80910.405749154364</v>
      </c>
      <c r="H57" s="114"/>
      <c r="I57" s="187">
        <f>SUM(I54:I56)</f>
        <v>267193.89</v>
      </c>
      <c r="K57" s="114"/>
      <c r="L57" s="187">
        <f>SUM(L54:L56)</f>
        <v>348104.29574915441</v>
      </c>
      <c r="O57" s="185">
        <f>SUM(O54:O56)</f>
        <v>64552.672200000001</v>
      </c>
      <c r="R57" s="185">
        <f>SUM(R54:R56)</f>
        <v>494.01469999999995</v>
      </c>
    </row>
    <row r="58" spans="1:20" ht="14.25" x14ac:dyDescent="0.45">
      <c r="D58" s="18" t="s">
        <v>9</v>
      </c>
      <c r="E58" s="188"/>
      <c r="F58" s="189"/>
      <c r="H58" s="114"/>
      <c r="I58" s="189"/>
      <c r="K58" s="114"/>
      <c r="L58" s="189"/>
    </row>
    <row r="59" spans="1:20" ht="14.25" x14ac:dyDescent="0.45">
      <c r="D59" s="19" t="s">
        <v>13</v>
      </c>
      <c r="E59" s="114"/>
      <c r="F59" s="113">
        <f>F40+F52</f>
        <v>579988.51402440527</v>
      </c>
      <c r="H59" s="114"/>
      <c r="I59" s="113">
        <f>I40+I52</f>
        <v>3440716.3899999997</v>
      </c>
      <c r="K59" s="114"/>
      <c r="L59" s="113">
        <f>L40+L52</f>
        <v>4020704.9040244049</v>
      </c>
      <c r="O59" s="190">
        <f>O40+O52</f>
        <v>1300728.3242000001</v>
      </c>
      <c r="R59" s="190">
        <f>R40+R52</f>
        <v>18786.818499999998</v>
      </c>
    </row>
    <row r="60" spans="1:20" ht="14.25" x14ac:dyDescent="0.45">
      <c r="D60" s="19" t="s">
        <v>14</v>
      </c>
      <c r="E60" s="114"/>
      <c r="F60" s="113">
        <f>F41+F57</f>
        <v>426188.62172474898</v>
      </c>
      <c r="H60" s="114"/>
      <c r="I60" s="113">
        <f>I41+I57</f>
        <v>447369.28</v>
      </c>
      <c r="K60" s="114"/>
      <c r="L60" s="113">
        <f>L41+L57</f>
        <v>873557.90172474901</v>
      </c>
      <c r="O60" s="190">
        <f>O41+O57</f>
        <v>236527.80480000001</v>
      </c>
      <c r="R60" s="190">
        <f>R41+R57</f>
        <v>2600.0604000000003</v>
      </c>
    </row>
    <row r="61" spans="1:20" x14ac:dyDescent="0.35">
      <c r="D61" s="167" t="s">
        <v>72</v>
      </c>
      <c r="E61" s="114"/>
      <c r="F61" s="113">
        <f>F42</f>
        <v>409412.52</v>
      </c>
      <c r="H61" s="114"/>
      <c r="I61" s="113">
        <f>I42</f>
        <v>33200</v>
      </c>
      <c r="K61" s="114"/>
      <c r="L61" s="113">
        <f>L42</f>
        <v>442612.52</v>
      </c>
      <c r="O61" s="190">
        <f>O42</f>
        <v>0</v>
      </c>
      <c r="R61" s="190">
        <f>R42</f>
        <v>0</v>
      </c>
    </row>
    <row r="62" spans="1:20" ht="14.65" thickBot="1" x14ac:dyDescent="0.5">
      <c r="D62" s="16" t="s">
        <v>57</v>
      </c>
      <c r="E62" s="114"/>
      <c r="F62" s="191">
        <f>SUM(F59:F61)</f>
        <v>1415589.6557491543</v>
      </c>
      <c r="H62" s="114"/>
      <c r="I62" s="191">
        <f>SUM(I59:I61)</f>
        <v>3921285.67</v>
      </c>
      <c r="K62" s="114"/>
      <c r="L62" s="191">
        <f>SUM(L59:L61)</f>
        <v>5336875.3257491533</v>
      </c>
      <c r="O62" s="192">
        <f>SUM(O59:O61)</f>
        <v>1537256.1290000002</v>
      </c>
      <c r="R62" s="192">
        <f>SUM(R59:R61)</f>
        <v>21386.878899999996</v>
      </c>
    </row>
    <row r="63" spans="1:20" ht="13.15" thickTop="1" x14ac:dyDescent="0.35">
      <c r="E63" s="114"/>
      <c r="F63" s="113"/>
      <c r="H63" s="114"/>
      <c r="I63" s="113"/>
      <c r="K63" s="114"/>
      <c r="L63" s="113"/>
    </row>
    <row r="64" spans="1:20" x14ac:dyDescent="0.35">
      <c r="D64" t="s">
        <v>58</v>
      </c>
      <c r="E64" s="114"/>
      <c r="F64" s="113"/>
      <c r="H64" s="114"/>
      <c r="I64" s="113"/>
      <c r="K64" s="110" t="s">
        <v>103</v>
      </c>
      <c r="L64" s="180">
        <f>L62-U62</f>
        <v>5336875.3257491533</v>
      </c>
      <c r="O64" s="190">
        <f>O62-AA62</f>
        <v>1537256.1290000002</v>
      </c>
      <c r="R64" s="190">
        <f>R62-AD62</f>
        <v>21386.878899999996</v>
      </c>
    </row>
    <row r="65" spans="1:20" x14ac:dyDescent="0.35">
      <c r="E65" s="114"/>
      <c r="F65" s="113"/>
      <c r="H65" s="114"/>
      <c r="I65" s="113"/>
      <c r="K65" s="114"/>
      <c r="L65" s="113"/>
    </row>
    <row r="66" spans="1:20" x14ac:dyDescent="0.35">
      <c r="E66" s="114"/>
      <c r="F66" s="113"/>
      <c r="H66" s="114"/>
      <c r="I66" s="113"/>
      <c r="K66" s="114"/>
      <c r="L66" s="113"/>
      <c r="O66" s="113"/>
      <c r="R66" s="113"/>
    </row>
    <row r="67" spans="1:20" x14ac:dyDescent="0.35">
      <c r="E67" s="114"/>
      <c r="F67" s="113"/>
      <c r="H67" s="114"/>
      <c r="I67" s="113"/>
      <c r="K67" s="114"/>
      <c r="L67" s="113"/>
    </row>
    <row r="68" spans="1:20" x14ac:dyDescent="0.35">
      <c r="E68" s="114"/>
      <c r="F68" s="113"/>
      <c r="H68" s="114"/>
      <c r="I68" s="113"/>
      <c r="K68" s="114"/>
      <c r="L68" s="113"/>
    </row>
    <row r="69" spans="1:20" x14ac:dyDescent="0.35">
      <c r="E69" s="114"/>
      <c r="F69" s="113"/>
      <c r="H69" s="114"/>
      <c r="I69" s="113"/>
      <c r="K69" s="114"/>
      <c r="L69" s="113"/>
    </row>
    <row r="70" spans="1:20" x14ac:dyDescent="0.35">
      <c r="E70" s="114"/>
      <c r="F70" s="113"/>
      <c r="H70" s="114"/>
      <c r="I70" s="113"/>
      <c r="K70" s="114"/>
      <c r="L70" s="113"/>
    </row>
    <row r="71" spans="1:20" x14ac:dyDescent="0.35">
      <c r="D71" t="s">
        <v>53</v>
      </c>
      <c r="E71" s="114"/>
      <c r="F71" s="113"/>
      <c r="H71" s="114"/>
      <c r="I71" s="113"/>
      <c r="K71" s="114"/>
      <c r="L71" s="113"/>
    </row>
    <row r="72" spans="1:20" ht="14.25" x14ac:dyDescent="0.45">
      <c r="A72" s="131">
        <v>98648</v>
      </c>
      <c r="B72" s="131"/>
      <c r="C72" s="131" t="str">
        <f t="shared" ref="C72:C73" si="41">TEXT($A$4+0,"000000")&amp;TEXT(YEAR($A$7),"0000")&amp;TEXT(A72+0,"00000")&amp;TEXT($A$8,"00")</f>
        <v>18634820219864812</v>
      </c>
      <c r="D72" s="14" t="s">
        <v>22</v>
      </c>
      <c r="E72" s="132">
        <f>MONTH($A$7)/12</f>
        <v>1</v>
      </c>
      <c r="F72" s="133">
        <v>0</v>
      </c>
      <c r="G72" s="134">
        <v>85171</v>
      </c>
      <c r="H72" s="135">
        <f t="shared" ref="H72:H73" si="42">IF(G72&lt;&gt;0,F72/G72,0)</f>
        <v>0</v>
      </c>
      <c r="I72" s="134">
        <v>0</v>
      </c>
      <c r="J72" s="161">
        <v>1709224.2042448244</v>
      </c>
      <c r="K72" s="135">
        <f t="shared" ref="K72:K73" si="43">IF(J72&lt;&gt;0,I72/J72,0)</f>
        <v>0</v>
      </c>
      <c r="L72" s="136">
        <f t="shared" ref="L72:M73" si="44">F72+I72</f>
        <v>0</v>
      </c>
      <c r="M72" s="161">
        <f t="shared" si="44"/>
        <v>1794395.2042448244</v>
      </c>
      <c r="N72" s="137">
        <f t="shared" ref="N72:N73" si="45">IF(M72&lt;&gt;0,L72/M72,0)</f>
        <v>0</v>
      </c>
      <c r="O72" s="138">
        <v>0</v>
      </c>
      <c r="P72" s="160">
        <v>176733.72955257903</v>
      </c>
      <c r="Q72" s="135">
        <f t="shared" ref="Q72:Q73" si="46">IF(P72&lt;&gt;0,O72/P72,0)</f>
        <v>0</v>
      </c>
      <c r="R72" s="140">
        <v>0</v>
      </c>
      <c r="S72" s="160">
        <v>518.71490405421855</v>
      </c>
      <c r="T72" s="137">
        <f t="shared" ref="T72:T73" si="47">IF(S72&lt;&gt;0,R72/S72,0)</f>
        <v>0</v>
      </c>
    </row>
    <row r="73" spans="1:20" ht="14.25" x14ac:dyDescent="0.45">
      <c r="A73" s="131">
        <v>98650</v>
      </c>
      <c r="B73" s="131"/>
      <c r="C73" s="131" t="str">
        <f t="shared" si="41"/>
        <v>18634820219865012</v>
      </c>
      <c r="D73" s="14" t="s">
        <v>22</v>
      </c>
      <c r="E73" s="132">
        <f>MONTH($A$7)/12</f>
        <v>1</v>
      </c>
      <c r="F73" s="133">
        <v>0</v>
      </c>
      <c r="G73" s="134">
        <v>85171</v>
      </c>
      <c r="H73" s="135">
        <f t="shared" si="42"/>
        <v>0</v>
      </c>
      <c r="I73" s="134">
        <v>0</v>
      </c>
      <c r="J73" s="161">
        <v>1709224.2042448244</v>
      </c>
      <c r="K73" s="135">
        <f t="shared" si="43"/>
        <v>0</v>
      </c>
      <c r="L73" s="136">
        <f t="shared" si="44"/>
        <v>0</v>
      </c>
      <c r="M73" s="161">
        <f t="shared" si="44"/>
        <v>1794395.2042448244</v>
      </c>
      <c r="N73" s="137">
        <f t="shared" si="45"/>
        <v>0</v>
      </c>
      <c r="O73" s="138">
        <v>0</v>
      </c>
      <c r="P73" s="160">
        <v>176733.72955257903</v>
      </c>
      <c r="Q73" s="135">
        <f t="shared" si="46"/>
        <v>0</v>
      </c>
      <c r="R73" s="140">
        <v>0</v>
      </c>
      <c r="S73" s="160">
        <v>518.71490405421855</v>
      </c>
      <c r="T73" s="137">
        <f t="shared" si="47"/>
        <v>0</v>
      </c>
    </row>
    <row r="74" spans="1:20" x14ac:dyDescent="0.35">
      <c r="E74" s="114"/>
      <c r="F74" s="113">
        <f>SUM(F72:F73)</f>
        <v>0</v>
      </c>
      <c r="H74" s="114"/>
      <c r="I74" s="113">
        <f>SUM(I72:I73)</f>
        <v>0</v>
      </c>
      <c r="K74" s="114"/>
      <c r="L74" s="113">
        <f>SUM(L72:L73)</f>
        <v>0</v>
      </c>
      <c r="O74" s="193">
        <f>SUM(O72:O73)</f>
        <v>0</v>
      </c>
      <c r="R74" s="193">
        <f>SUM(R72:R73)</f>
        <v>0</v>
      </c>
    </row>
    <row r="75" spans="1:20" x14ac:dyDescent="0.35">
      <c r="E75" s="114"/>
      <c r="F75" s="113"/>
      <c r="H75" s="114"/>
      <c r="I75" s="113"/>
      <c r="K75" s="114"/>
      <c r="L75" s="113"/>
    </row>
    <row r="76" spans="1:20" x14ac:dyDescent="0.35">
      <c r="E76" s="114"/>
      <c r="F76" s="113"/>
      <c r="H76" s="114"/>
      <c r="I76" s="113"/>
      <c r="K76" s="114"/>
      <c r="L76" s="113"/>
    </row>
    <row r="77" spans="1:20" x14ac:dyDescent="0.35">
      <c r="E77" s="114"/>
      <c r="F77" s="113"/>
      <c r="H77" s="114"/>
      <c r="I77" s="113"/>
      <c r="K77" s="114"/>
      <c r="L77" s="113"/>
    </row>
    <row r="78" spans="1:20" x14ac:dyDescent="0.35">
      <c r="E78" s="114"/>
      <c r="F78" s="113"/>
      <c r="H78" s="114"/>
      <c r="I78" s="113"/>
      <c r="K78" s="114"/>
      <c r="L78" s="113"/>
    </row>
    <row r="79" spans="1:20" x14ac:dyDescent="0.35">
      <c r="E79" s="114"/>
      <c r="F79" s="113"/>
      <c r="H79" s="114"/>
      <c r="I79" s="113"/>
      <c r="K79" s="114"/>
      <c r="L79" s="113"/>
    </row>
    <row r="80" spans="1:20" x14ac:dyDescent="0.35">
      <c r="E80" s="114"/>
      <c r="F80" s="113"/>
      <c r="H80" s="114"/>
      <c r="I80" s="113"/>
      <c r="K80" s="114"/>
      <c r="L80" s="113"/>
    </row>
    <row r="81" spans="5:12" x14ac:dyDescent="0.35">
      <c r="E81" s="114"/>
      <c r="F81" s="113"/>
      <c r="H81" s="114"/>
      <c r="I81" s="113"/>
      <c r="K81" s="114"/>
      <c r="L81" s="113"/>
    </row>
    <row r="82" spans="5:12" x14ac:dyDescent="0.35">
      <c r="E82" s="114"/>
      <c r="F82" s="113"/>
      <c r="H82" s="114"/>
      <c r="I82" s="113"/>
      <c r="K82" s="114"/>
      <c r="L82" s="113"/>
    </row>
    <row r="83" spans="5:12" x14ac:dyDescent="0.35">
      <c r="E83" s="114"/>
      <c r="F83" s="113"/>
      <c r="H83" s="114"/>
      <c r="I83" s="113"/>
      <c r="K83" s="114"/>
      <c r="L83" s="113"/>
    </row>
    <row r="84" spans="5:12" x14ac:dyDescent="0.35">
      <c r="E84" s="114"/>
      <c r="F84" s="113"/>
      <c r="H84" s="114"/>
      <c r="I84" s="113"/>
      <c r="K84" s="114"/>
      <c r="L84" s="113"/>
    </row>
    <row r="85" spans="5:12" x14ac:dyDescent="0.35">
      <c r="E85" s="114"/>
      <c r="F85" s="113"/>
      <c r="H85" s="114"/>
      <c r="I85" s="113"/>
      <c r="K85" s="114"/>
      <c r="L85" s="113"/>
    </row>
    <row r="86" spans="5:12" x14ac:dyDescent="0.35">
      <c r="E86" s="114"/>
      <c r="F86" s="113"/>
      <c r="H86" s="114"/>
      <c r="I86" s="113"/>
      <c r="K86" s="114"/>
      <c r="L86" s="113"/>
    </row>
    <row r="87" spans="5:12" x14ac:dyDescent="0.35">
      <c r="E87" s="114"/>
      <c r="F87" s="113"/>
      <c r="H87" s="114"/>
      <c r="I87" s="113"/>
      <c r="K87" s="114"/>
      <c r="L87" s="113"/>
    </row>
    <row r="88" spans="5:12" x14ac:dyDescent="0.35">
      <c r="E88" s="114"/>
      <c r="F88" s="113"/>
      <c r="H88" s="114"/>
      <c r="I88" s="113"/>
      <c r="K88" s="114"/>
      <c r="L88" s="113"/>
    </row>
    <row r="89" spans="5:12" x14ac:dyDescent="0.35">
      <c r="E89" s="114"/>
      <c r="F89" s="113"/>
      <c r="H89" s="114"/>
      <c r="I89" s="113"/>
      <c r="K89" s="114"/>
      <c r="L89" s="113"/>
    </row>
    <row r="90" spans="5:12" x14ac:dyDescent="0.35">
      <c r="E90" s="114"/>
      <c r="F90" s="113"/>
      <c r="H90" s="114"/>
      <c r="I90" s="113"/>
      <c r="K90" s="114"/>
      <c r="L90" s="113"/>
    </row>
    <row r="91" spans="5:12" x14ac:dyDescent="0.35">
      <c r="E91" s="114"/>
      <c r="F91" s="113"/>
      <c r="H91" s="114"/>
      <c r="I91" s="113"/>
      <c r="K91" s="114"/>
      <c r="L91" s="113"/>
    </row>
    <row r="92" spans="5:12" x14ac:dyDescent="0.35">
      <c r="E92" s="114"/>
      <c r="F92" s="113"/>
      <c r="H92" s="114"/>
      <c r="I92" s="113"/>
      <c r="K92" s="114"/>
      <c r="L92" s="113"/>
    </row>
    <row r="93" spans="5:12" x14ac:dyDescent="0.35">
      <c r="E93" s="114"/>
      <c r="F93" s="113"/>
      <c r="H93" s="114"/>
      <c r="I93" s="113"/>
      <c r="K93" s="114"/>
      <c r="L93" s="113"/>
    </row>
    <row r="94" spans="5:12" x14ac:dyDescent="0.35">
      <c r="E94" s="114"/>
      <c r="F94" s="113"/>
      <c r="H94" s="114"/>
      <c r="I94" s="113"/>
      <c r="K94" s="114"/>
      <c r="L94" s="113"/>
    </row>
    <row r="95" spans="5:12" x14ac:dyDescent="0.35">
      <c r="E95" s="114"/>
      <c r="F95" s="113"/>
      <c r="H95" s="114"/>
      <c r="I95" s="113"/>
      <c r="K95" s="114"/>
      <c r="L95" s="113"/>
    </row>
    <row r="96" spans="5:12" x14ac:dyDescent="0.35">
      <c r="E96" s="114"/>
      <c r="F96" s="113"/>
      <c r="H96" s="114"/>
      <c r="I96" s="113"/>
      <c r="K96" s="114"/>
      <c r="L96" s="113"/>
    </row>
    <row r="97" spans="5:12" x14ac:dyDescent="0.35">
      <c r="E97" s="114"/>
      <c r="F97" s="113"/>
      <c r="H97" s="114"/>
      <c r="I97" s="113"/>
      <c r="K97" s="114"/>
      <c r="L97" s="113"/>
    </row>
    <row r="98" spans="5:12" x14ac:dyDescent="0.35">
      <c r="E98" s="114"/>
      <c r="F98" s="113"/>
      <c r="H98" s="114"/>
      <c r="I98" s="113"/>
      <c r="K98" s="114"/>
      <c r="L98" s="113"/>
    </row>
    <row r="99" spans="5:12" x14ac:dyDescent="0.35">
      <c r="E99" s="114"/>
      <c r="F99" s="113"/>
      <c r="H99" s="114"/>
      <c r="I99" s="113"/>
      <c r="K99" s="114"/>
      <c r="L99" s="113"/>
    </row>
    <row r="100" spans="5:12" x14ac:dyDescent="0.35">
      <c r="E100" s="114"/>
      <c r="F100" s="113"/>
      <c r="H100" s="114"/>
      <c r="I100" s="113"/>
      <c r="K100" s="114"/>
      <c r="L100" s="113"/>
    </row>
    <row r="101" spans="5:12" x14ac:dyDescent="0.35">
      <c r="E101" s="114"/>
      <c r="F101" s="113"/>
      <c r="H101" s="114"/>
      <c r="I101" s="113"/>
      <c r="K101" s="114"/>
      <c r="L101" s="113"/>
    </row>
    <row r="102" spans="5:12" x14ac:dyDescent="0.35">
      <c r="E102" s="114"/>
      <c r="F102" s="113"/>
      <c r="H102" s="114"/>
      <c r="I102" s="113"/>
      <c r="K102" s="114"/>
      <c r="L102" s="113"/>
    </row>
    <row r="103" spans="5:12" x14ac:dyDescent="0.35">
      <c r="E103" s="114"/>
      <c r="F103" s="113"/>
      <c r="H103" s="114"/>
      <c r="I103" s="113"/>
      <c r="K103" s="114"/>
      <c r="L103" s="113"/>
    </row>
    <row r="104" spans="5:12" x14ac:dyDescent="0.35">
      <c r="E104" s="114"/>
      <c r="F104" s="113"/>
      <c r="H104" s="114"/>
      <c r="I104" s="113"/>
      <c r="K104" s="114"/>
      <c r="L104" s="113"/>
    </row>
    <row r="105" spans="5:12" x14ac:dyDescent="0.35">
      <c r="E105" s="114"/>
      <c r="F105" s="113"/>
      <c r="H105" s="114"/>
      <c r="I105" s="113"/>
      <c r="K105" s="114"/>
      <c r="L105" s="113"/>
    </row>
    <row r="106" spans="5:12" x14ac:dyDescent="0.35">
      <c r="E106" s="114"/>
      <c r="F106" s="113"/>
      <c r="H106" s="114"/>
      <c r="I106" s="113"/>
      <c r="K106" s="114"/>
      <c r="L106" s="113"/>
    </row>
    <row r="107" spans="5:12" x14ac:dyDescent="0.35">
      <c r="E107" s="114"/>
      <c r="F107" s="113"/>
      <c r="H107" s="114"/>
      <c r="I107" s="113"/>
      <c r="K107" s="114"/>
      <c r="L107" s="113"/>
    </row>
    <row r="108" spans="5:12" x14ac:dyDescent="0.35">
      <c r="E108" s="114"/>
      <c r="F108" s="113"/>
      <c r="H108" s="114"/>
      <c r="I108" s="113"/>
      <c r="K108" s="114"/>
      <c r="L108" s="113"/>
    </row>
    <row r="109" spans="5:12" x14ac:dyDescent="0.35">
      <c r="E109" s="114"/>
      <c r="F109" s="113"/>
      <c r="H109" s="114"/>
      <c r="I109" s="113"/>
      <c r="K109" s="114"/>
      <c r="L109" s="113"/>
    </row>
    <row r="110" spans="5:12" x14ac:dyDescent="0.35">
      <c r="E110" s="114"/>
      <c r="F110" s="113"/>
      <c r="H110" s="114"/>
      <c r="I110" s="113"/>
      <c r="K110" s="114"/>
      <c r="L110" s="113"/>
    </row>
    <row r="111" spans="5:12" x14ac:dyDescent="0.35">
      <c r="E111" s="114"/>
      <c r="F111" s="113"/>
      <c r="H111" s="114"/>
      <c r="I111" s="113"/>
      <c r="K111" s="114"/>
      <c r="L111" s="113"/>
    </row>
    <row r="112" spans="5:12" x14ac:dyDescent="0.35">
      <c r="E112" s="114"/>
      <c r="F112" s="113"/>
      <c r="H112" s="114"/>
      <c r="I112" s="113"/>
      <c r="K112" s="114"/>
      <c r="L112" s="113"/>
    </row>
    <row r="113" spans="5:12" x14ac:dyDescent="0.35">
      <c r="E113" s="114"/>
      <c r="F113" s="113"/>
      <c r="H113" s="114"/>
      <c r="I113" s="113"/>
      <c r="K113" s="114"/>
      <c r="L113" s="113"/>
    </row>
    <row r="114" spans="5:12" x14ac:dyDescent="0.35">
      <c r="E114" s="114"/>
      <c r="F114" s="113"/>
      <c r="H114" s="114"/>
      <c r="I114" s="113"/>
      <c r="K114" s="114"/>
      <c r="L114" s="113"/>
    </row>
    <row r="115" spans="5:12" x14ac:dyDescent="0.35">
      <c r="E115" s="114"/>
      <c r="F115" s="113"/>
      <c r="H115" s="114"/>
      <c r="I115" s="113"/>
      <c r="K115" s="114"/>
      <c r="L115" s="113"/>
    </row>
    <row r="116" spans="5:12" x14ac:dyDescent="0.35">
      <c r="E116" s="114"/>
      <c r="F116" s="113"/>
      <c r="H116" s="114"/>
      <c r="I116" s="113"/>
      <c r="K116" s="114"/>
      <c r="L116" s="113"/>
    </row>
    <row r="117" spans="5:12" x14ac:dyDescent="0.35">
      <c r="E117" s="114"/>
      <c r="F117" s="113"/>
      <c r="H117" s="114"/>
      <c r="I117" s="113"/>
      <c r="K117" s="114"/>
      <c r="L117" s="113"/>
    </row>
    <row r="118" spans="5:12" x14ac:dyDescent="0.35">
      <c r="E118" s="114"/>
      <c r="F118" s="113"/>
      <c r="H118" s="114"/>
      <c r="I118" s="113"/>
      <c r="K118" s="114"/>
      <c r="L118" s="113"/>
    </row>
    <row r="119" spans="5:12" x14ac:dyDescent="0.35">
      <c r="E119" s="114"/>
      <c r="F119" s="113"/>
      <c r="H119" s="114"/>
      <c r="I119" s="113"/>
      <c r="K119" s="114"/>
      <c r="L119" s="113"/>
    </row>
    <row r="120" spans="5:12" x14ac:dyDescent="0.35">
      <c r="E120" s="114"/>
      <c r="F120" s="113"/>
      <c r="H120" s="114"/>
      <c r="I120" s="113"/>
      <c r="K120" s="114"/>
      <c r="L120" s="113"/>
    </row>
    <row r="121" spans="5:12" x14ac:dyDescent="0.35">
      <c r="E121" s="114"/>
      <c r="F121" s="113"/>
      <c r="H121" s="114"/>
      <c r="I121" s="113"/>
      <c r="K121" s="114"/>
      <c r="L121" s="113"/>
    </row>
    <row r="122" spans="5:12" x14ac:dyDescent="0.35">
      <c r="E122" s="114"/>
      <c r="F122" s="113"/>
      <c r="H122" s="114"/>
      <c r="I122" s="113"/>
      <c r="K122" s="114"/>
      <c r="L122" s="113"/>
    </row>
    <row r="123" spans="5:12" x14ac:dyDescent="0.35">
      <c r="E123" s="114"/>
      <c r="F123" s="113"/>
      <c r="H123" s="114"/>
      <c r="I123" s="113"/>
      <c r="K123" s="114"/>
      <c r="L123" s="113"/>
    </row>
    <row r="124" spans="5:12" x14ac:dyDescent="0.35">
      <c r="E124" s="114"/>
      <c r="F124" s="113"/>
      <c r="H124" s="114"/>
      <c r="I124" s="113"/>
      <c r="K124" s="114"/>
      <c r="L124" s="113"/>
    </row>
    <row r="125" spans="5:12" x14ac:dyDescent="0.35">
      <c r="E125" s="114"/>
      <c r="F125" s="113"/>
      <c r="H125" s="114"/>
      <c r="I125" s="113"/>
      <c r="K125" s="114"/>
      <c r="L125" s="113"/>
    </row>
    <row r="126" spans="5:12" x14ac:dyDescent="0.35">
      <c r="E126" s="114"/>
      <c r="F126" s="113"/>
      <c r="H126" s="114"/>
      <c r="I126" s="113"/>
      <c r="K126" s="114"/>
      <c r="L126" s="113"/>
    </row>
    <row r="127" spans="5:12" x14ac:dyDescent="0.35">
      <c r="E127" s="114"/>
      <c r="F127" s="113"/>
      <c r="H127" s="114"/>
      <c r="I127" s="113"/>
      <c r="K127" s="114"/>
      <c r="L127" s="113"/>
    </row>
    <row r="128" spans="5:12" x14ac:dyDescent="0.35">
      <c r="E128" s="114"/>
      <c r="F128" s="113"/>
      <c r="H128" s="114"/>
      <c r="I128" s="113"/>
      <c r="K128" s="114"/>
      <c r="L128" s="113"/>
    </row>
    <row r="129" spans="5:12" x14ac:dyDescent="0.35">
      <c r="E129" s="114"/>
      <c r="F129" s="113"/>
      <c r="H129" s="114"/>
      <c r="I129" s="113"/>
      <c r="K129" s="114"/>
      <c r="L129" s="113"/>
    </row>
    <row r="130" spans="5:12" x14ac:dyDescent="0.35">
      <c r="E130" s="114"/>
      <c r="F130" s="113"/>
      <c r="H130" s="114"/>
      <c r="I130" s="113"/>
      <c r="K130" s="114"/>
      <c r="L130" s="113"/>
    </row>
    <row r="131" spans="5:12" x14ac:dyDescent="0.35">
      <c r="E131" s="114"/>
      <c r="F131" s="113"/>
      <c r="H131" s="114"/>
      <c r="I131" s="113"/>
      <c r="K131" s="114"/>
      <c r="L131" s="113"/>
    </row>
    <row r="132" spans="5:12" x14ac:dyDescent="0.35">
      <c r="E132" s="114"/>
      <c r="F132" s="113"/>
      <c r="H132" s="114"/>
      <c r="I132" s="113"/>
      <c r="K132" s="114"/>
      <c r="L132" s="113"/>
    </row>
    <row r="133" spans="5:12" x14ac:dyDescent="0.35">
      <c r="E133" s="114"/>
      <c r="F133" s="113"/>
      <c r="H133" s="114"/>
      <c r="I133" s="113"/>
      <c r="K133" s="114"/>
      <c r="L133" s="113"/>
    </row>
    <row r="134" spans="5:12" x14ac:dyDescent="0.35">
      <c r="E134" s="114"/>
      <c r="F134" s="113"/>
      <c r="H134" s="114"/>
      <c r="I134" s="113"/>
      <c r="K134" s="114"/>
      <c r="L134" s="113"/>
    </row>
    <row r="135" spans="5:12" x14ac:dyDescent="0.35">
      <c r="E135" s="114"/>
      <c r="F135" s="113"/>
      <c r="H135" s="114"/>
      <c r="I135" s="113"/>
      <c r="K135" s="114"/>
      <c r="L135" s="113"/>
    </row>
    <row r="136" spans="5:12" x14ac:dyDescent="0.35">
      <c r="E136" s="114"/>
      <c r="F136" s="113"/>
      <c r="H136" s="114"/>
      <c r="I136" s="113"/>
      <c r="K136" s="114"/>
      <c r="L136" s="113"/>
    </row>
    <row r="137" spans="5:12" x14ac:dyDescent="0.35">
      <c r="E137" s="114"/>
      <c r="F137" s="113"/>
      <c r="H137" s="114"/>
      <c r="I137" s="113"/>
      <c r="K137" s="114"/>
      <c r="L137" s="113"/>
    </row>
    <row r="138" spans="5:12" x14ac:dyDescent="0.35">
      <c r="E138" s="114"/>
      <c r="F138" s="113"/>
      <c r="H138" s="114"/>
      <c r="I138" s="113"/>
      <c r="K138" s="114"/>
      <c r="L138" s="113"/>
    </row>
    <row r="139" spans="5:12" x14ac:dyDescent="0.35">
      <c r="E139" s="114"/>
      <c r="F139" s="113"/>
      <c r="H139" s="114"/>
      <c r="I139" s="113"/>
      <c r="K139" s="114"/>
      <c r="L139" s="113"/>
    </row>
    <row r="140" spans="5:12" x14ac:dyDescent="0.35">
      <c r="E140" s="114"/>
      <c r="F140" s="113"/>
      <c r="H140" s="114"/>
      <c r="I140" s="113"/>
      <c r="K140" s="114"/>
      <c r="L140" s="113"/>
    </row>
    <row r="141" spans="5:12" x14ac:dyDescent="0.35">
      <c r="E141" s="114"/>
      <c r="F141" s="113"/>
      <c r="H141" s="114"/>
      <c r="I141" s="113"/>
      <c r="K141" s="114"/>
      <c r="L141" s="113"/>
    </row>
    <row r="142" spans="5:12" x14ac:dyDescent="0.35">
      <c r="E142" s="114"/>
      <c r="F142" s="113"/>
      <c r="H142" s="114"/>
      <c r="I142" s="113"/>
      <c r="K142" s="114"/>
      <c r="L142" s="113"/>
    </row>
    <row r="143" spans="5:12" x14ac:dyDescent="0.35">
      <c r="E143" s="114"/>
      <c r="F143" s="113"/>
      <c r="H143" s="114"/>
      <c r="I143" s="113"/>
      <c r="K143" s="114"/>
      <c r="L143" s="113"/>
    </row>
    <row r="144" spans="5:12" x14ac:dyDescent="0.35">
      <c r="E144" s="114"/>
      <c r="F144" s="113"/>
      <c r="H144" s="114"/>
      <c r="I144" s="113"/>
      <c r="K144" s="114"/>
      <c r="L144" s="113"/>
    </row>
    <row r="145" spans="5:12" x14ac:dyDescent="0.35">
      <c r="E145" s="114"/>
      <c r="F145" s="113"/>
      <c r="H145" s="114"/>
      <c r="I145" s="113"/>
      <c r="K145" s="114"/>
      <c r="L145" s="113"/>
    </row>
    <row r="146" spans="5:12" x14ac:dyDescent="0.35">
      <c r="E146" s="114"/>
      <c r="F146" s="113"/>
      <c r="H146" s="114"/>
      <c r="I146" s="113"/>
      <c r="K146" s="114"/>
      <c r="L146" s="113"/>
    </row>
    <row r="147" spans="5:12" x14ac:dyDescent="0.35">
      <c r="E147" s="114"/>
      <c r="F147" s="113"/>
      <c r="H147" s="114"/>
      <c r="I147" s="113"/>
      <c r="K147" s="114"/>
      <c r="L147" s="113"/>
    </row>
    <row r="148" spans="5:12" x14ac:dyDescent="0.35">
      <c r="E148" s="114"/>
      <c r="F148" s="113"/>
      <c r="H148" s="114"/>
      <c r="I148" s="113"/>
      <c r="K148" s="114"/>
      <c r="L148" s="113"/>
    </row>
    <row r="149" spans="5:12" x14ac:dyDescent="0.35">
      <c r="E149" s="114"/>
      <c r="F149" s="113"/>
      <c r="H149" s="114"/>
      <c r="I149" s="113"/>
      <c r="K149" s="114"/>
      <c r="L149" s="113"/>
    </row>
    <row r="150" spans="5:12" x14ac:dyDescent="0.35">
      <c r="E150" s="114"/>
      <c r="F150" s="113"/>
      <c r="H150" s="114"/>
      <c r="I150" s="113"/>
      <c r="K150" s="114"/>
      <c r="L150" s="113"/>
    </row>
    <row r="151" spans="5:12" x14ac:dyDescent="0.35">
      <c r="E151" s="114"/>
      <c r="F151" s="113"/>
      <c r="H151" s="114"/>
      <c r="I151" s="113"/>
      <c r="K151" s="114"/>
      <c r="L151" s="113"/>
    </row>
    <row r="152" spans="5:12" x14ac:dyDescent="0.35">
      <c r="E152" s="114"/>
      <c r="F152" s="113"/>
      <c r="H152" s="114"/>
      <c r="I152" s="113"/>
      <c r="K152" s="114"/>
      <c r="L152" s="113"/>
    </row>
    <row r="153" spans="5:12" x14ac:dyDescent="0.35">
      <c r="E153" s="114"/>
      <c r="F153" s="113"/>
      <c r="H153" s="114"/>
      <c r="I153" s="113"/>
      <c r="K153" s="114"/>
      <c r="L153" s="113"/>
    </row>
    <row r="154" spans="5:12" x14ac:dyDescent="0.35">
      <c r="E154" s="114"/>
      <c r="F154" s="113"/>
      <c r="H154" s="114"/>
      <c r="I154" s="113"/>
      <c r="K154" s="114"/>
      <c r="L154" s="113"/>
    </row>
    <row r="155" spans="5:12" x14ac:dyDescent="0.35">
      <c r="E155" s="114"/>
      <c r="F155" s="113"/>
      <c r="H155" s="114"/>
      <c r="I155" s="113"/>
      <c r="K155" s="114"/>
      <c r="L155" s="113"/>
    </row>
    <row r="156" spans="5:12" x14ac:dyDescent="0.35">
      <c r="E156" s="114"/>
      <c r="F156" s="113"/>
      <c r="H156" s="114"/>
      <c r="I156" s="113"/>
      <c r="K156" s="114"/>
      <c r="L156" s="113"/>
    </row>
    <row r="157" spans="5:12" x14ac:dyDescent="0.35">
      <c r="E157" s="114"/>
      <c r="F157" s="113"/>
      <c r="H157" s="114"/>
      <c r="I157" s="113"/>
      <c r="K157" s="114"/>
      <c r="L157" s="113"/>
    </row>
    <row r="158" spans="5:12" x14ac:dyDescent="0.35">
      <c r="E158" s="114"/>
      <c r="F158" s="113"/>
      <c r="H158" s="114"/>
      <c r="I158" s="113"/>
      <c r="K158" s="114"/>
      <c r="L158" s="113"/>
    </row>
    <row r="159" spans="5:12" x14ac:dyDescent="0.35">
      <c r="E159" s="114"/>
      <c r="F159" s="113"/>
      <c r="H159" s="114"/>
      <c r="I159" s="113"/>
      <c r="K159" s="114"/>
      <c r="L159" s="113"/>
    </row>
    <row r="160" spans="5:12" x14ac:dyDescent="0.35">
      <c r="E160" s="114"/>
      <c r="F160" s="113"/>
      <c r="H160" s="114"/>
      <c r="I160" s="113"/>
      <c r="K160" s="114"/>
      <c r="L160" s="113"/>
    </row>
    <row r="161" spans="5:12" x14ac:dyDescent="0.35">
      <c r="E161" s="114"/>
      <c r="F161" s="113"/>
      <c r="H161" s="114"/>
      <c r="I161" s="113"/>
      <c r="K161" s="114"/>
      <c r="L161" s="113"/>
    </row>
    <row r="162" spans="5:12" x14ac:dyDescent="0.35">
      <c r="E162" s="114"/>
      <c r="F162" s="113"/>
      <c r="H162" s="114"/>
      <c r="I162" s="113"/>
      <c r="K162" s="114"/>
      <c r="L162" s="113"/>
    </row>
    <row r="163" spans="5:12" x14ac:dyDescent="0.35">
      <c r="E163" s="114"/>
      <c r="F163" s="113"/>
      <c r="H163" s="114"/>
      <c r="I163" s="113"/>
      <c r="K163" s="114"/>
      <c r="L163" s="113"/>
    </row>
    <row r="164" spans="5:12" x14ac:dyDescent="0.35">
      <c r="E164" s="114"/>
      <c r="F164" s="113"/>
      <c r="H164" s="114"/>
      <c r="I164" s="113"/>
      <c r="K164" s="114"/>
      <c r="L164" s="113"/>
    </row>
    <row r="165" spans="5:12" x14ac:dyDescent="0.35">
      <c r="E165" s="114"/>
      <c r="F165" s="113"/>
      <c r="H165" s="114"/>
      <c r="I165" s="113"/>
      <c r="K165" s="114"/>
      <c r="L165" s="113"/>
    </row>
    <row r="166" spans="5:12" x14ac:dyDescent="0.35">
      <c r="E166" s="114"/>
      <c r="F166" s="113"/>
      <c r="H166" s="114"/>
      <c r="I166" s="113"/>
      <c r="K166" s="114"/>
      <c r="L166" s="113"/>
    </row>
    <row r="167" spans="5:12" x14ac:dyDescent="0.35">
      <c r="E167" s="114"/>
      <c r="F167" s="113"/>
      <c r="H167" s="114"/>
      <c r="I167" s="113"/>
      <c r="K167" s="114"/>
      <c r="L167" s="113"/>
    </row>
    <row r="168" spans="5:12" x14ac:dyDescent="0.35">
      <c r="E168" s="114"/>
      <c r="F168" s="113"/>
      <c r="H168" s="114"/>
      <c r="I168" s="113"/>
      <c r="K168" s="114"/>
      <c r="L168" s="113"/>
    </row>
    <row r="169" spans="5:12" x14ac:dyDescent="0.35">
      <c r="E169" s="114"/>
      <c r="F169" s="113"/>
      <c r="H169" s="114"/>
      <c r="I169" s="113"/>
      <c r="K169" s="114"/>
      <c r="L169" s="113"/>
    </row>
    <row r="170" spans="5:12" x14ac:dyDescent="0.35">
      <c r="E170" s="114"/>
      <c r="F170" s="113"/>
      <c r="H170" s="114"/>
      <c r="I170" s="113"/>
      <c r="K170" s="114"/>
      <c r="L170" s="113"/>
    </row>
    <row r="171" spans="5:12" x14ac:dyDescent="0.35">
      <c r="E171" s="114"/>
      <c r="F171" s="113"/>
      <c r="H171" s="114"/>
      <c r="I171" s="113"/>
      <c r="K171" s="114"/>
      <c r="L171" s="113"/>
    </row>
    <row r="172" spans="5:12" x14ac:dyDescent="0.35">
      <c r="E172" s="114"/>
      <c r="F172" s="113"/>
      <c r="H172" s="114"/>
      <c r="I172" s="113"/>
      <c r="K172" s="114"/>
      <c r="L172" s="113"/>
    </row>
    <row r="173" spans="5:12" x14ac:dyDescent="0.35">
      <c r="E173" s="114"/>
      <c r="F173" s="113"/>
      <c r="H173" s="114"/>
      <c r="I173" s="113"/>
      <c r="K173" s="114"/>
      <c r="L173" s="113"/>
    </row>
    <row r="174" spans="5:12" x14ac:dyDescent="0.35">
      <c r="E174" s="114"/>
      <c r="F174" s="113"/>
      <c r="H174" s="114"/>
      <c r="I174" s="113"/>
      <c r="K174" s="114"/>
      <c r="L174" s="113"/>
    </row>
    <row r="175" spans="5:12" x14ac:dyDescent="0.35">
      <c r="E175" s="114"/>
      <c r="F175" s="113"/>
      <c r="H175" s="114"/>
      <c r="I175" s="113"/>
      <c r="K175" s="114"/>
      <c r="L175" s="113"/>
    </row>
    <row r="176" spans="5:12" x14ac:dyDescent="0.35">
      <c r="E176" s="114"/>
      <c r="F176" s="113"/>
      <c r="H176" s="114"/>
      <c r="I176" s="113"/>
      <c r="K176" s="114"/>
      <c r="L176" s="113"/>
    </row>
    <row r="177" spans="5:12" x14ac:dyDescent="0.35">
      <c r="E177" s="114"/>
      <c r="F177" s="113"/>
      <c r="H177" s="114"/>
      <c r="I177" s="113"/>
      <c r="K177" s="114"/>
      <c r="L177" s="113"/>
    </row>
    <row r="178" spans="5:12" x14ac:dyDescent="0.35">
      <c r="E178" s="114"/>
      <c r="F178" s="113"/>
      <c r="H178" s="114"/>
      <c r="I178" s="113"/>
      <c r="K178" s="114"/>
      <c r="L178" s="113"/>
    </row>
    <row r="179" spans="5:12" x14ac:dyDescent="0.35">
      <c r="E179" s="114"/>
      <c r="F179" s="113"/>
      <c r="H179" s="114"/>
      <c r="I179" s="113"/>
      <c r="K179" s="114"/>
      <c r="L179" s="113"/>
    </row>
    <row r="180" spans="5:12" x14ac:dyDescent="0.35">
      <c r="E180" s="114"/>
      <c r="F180" s="113"/>
      <c r="H180" s="114"/>
      <c r="I180" s="113"/>
      <c r="K180" s="114"/>
      <c r="L180" s="113"/>
    </row>
    <row r="181" spans="5:12" x14ac:dyDescent="0.35">
      <c r="E181" s="114"/>
      <c r="F181" s="113"/>
      <c r="H181" s="114"/>
      <c r="I181" s="113"/>
      <c r="K181" s="114"/>
      <c r="L181" s="113"/>
    </row>
    <row r="182" spans="5:12" x14ac:dyDescent="0.35">
      <c r="E182" s="114"/>
      <c r="F182" s="113"/>
      <c r="H182" s="114"/>
      <c r="I182" s="113"/>
      <c r="K182" s="114"/>
      <c r="L182" s="113"/>
    </row>
    <row r="183" spans="5:12" x14ac:dyDescent="0.35">
      <c r="E183" s="114"/>
      <c r="F183" s="113"/>
      <c r="H183" s="114"/>
      <c r="I183" s="113"/>
      <c r="K183" s="114"/>
      <c r="L183" s="113"/>
    </row>
    <row r="184" spans="5:12" x14ac:dyDescent="0.35">
      <c r="E184" s="114"/>
      <c r="F184" s="113"/>
      <c r="H184" s="114"/>
      <c r="I184" s="113"/>
      <c r="K184" s="114"/>
      <c r="L184" s="113"/>
    </row>
    <row r="185" spans="5:12" x14ac:dyDescent="0.35">
      <c r="E185" s="114"/>
      <c r="F185" s="113"/>
      <c r="H185" s="114"/>
      <c r="I185" s="113"/>
      <c r="K185" s="114"/>
      <c r="L185" s="113"/>
    </row>
    <row r="186" spans="5:12" x14ac:dyDescent="0.35">
      <c r="E186" s="114"/>
      <c r="F186" s="113"/>
      <c r="H186" s="114"/>
      <c r="I186" s="113"/>
      <c r="K186" s="114"/>
      <c r="L186" s="113"/>
    </row>
    <row r="187" spans="5:12" x14ac:dyDescent="0.35">
      <c r="E187" s="114"/>
      <c r="F187" s="113"/>
      <c r="H187" s="114"/>
      <c r="I187" s="113"/>
      <c r="K187" s="114"/>
      <c r="L187" s="113"/>
    </row>
    <row r="188" spans="5:12" x14ac:dyDescent="0.35">
      <c r="E188" s="114"/>
      <c r="F188" s="113"/>
      <c r="H188" s="114"/>
      <c r="I188" s="113"/>
      <c r="K188" s="114"/>
      <c r="L188" s="113"/>
    </row>
    <row r="189" spans="5:12" x14ac:dyDescent="0.35">
      <c r="E189" s="114"/>
      <c r="F189" s="113"/>
      <c r="H189" s="114"/>
      <c r="I189" s="113"/>
      <c r="K189" s="114"/>
      <c r="L189" s="113"/>
    </row>
    <row r="190" spans="5:12" x14ac:dyDescent="0.35">
      <c r="E190" s="114"/>
      <c r="F190" s="113"/>
      <c r="H190" s="114"/>
      <c r="I190" s="113"/>
      <c r="K190" s="114"/>
      <c r="L190" s="113"/>
    </row>
    <row r="191" spans="5:12" x14ac:dyDescent="0.35">
      <c r="E191" s="114"/>
      <c r="F191" s="113"/>
      <c r="H191" s="114"/>
      <c r="I191" s="113"/>
      <c r="K191" s="114"/>
      <c r="L191" s="113"/>
    </row>
    <row r="192" spans="5:12" x14ac:dyDescent="0.35">
      <c r="E192" s="114"/>
      <c r="F192" s="113"/>
      <c r="H192" s="114"/>
      <c r="I192" s="113"/>
      <c r="K192" s="114"/>
      <c r="L192" s="113"/>
    </row>
    <row r="193" spans="5:12" x14ac:dyDescent="0.35">
      <c r="E193" s="114"/>
      <c r="F193" s="113"/>
      <c r="H193" s="114"/>
      <c r="I193" s="113"/>
      <c r="K193" s="114"/>
      <c r="L193" s="113"/>
    </row>
    <row r="194" spans="5:12" x14ac:dyDescent="0.35">
      <c r="E194" s="114"/>
      <c r="F194" s="113"/>
      <c r="H194" s="114"/>
      <c r="I194" s="113"/>
      <c r="K194" s="114"/>
      <c r="L194" s="113"/>
    </row>
    <row r="195" spans="5:12" x14ac:dyDescent="0.35">
      <c r="E195" s="114"/>
      <c r="F195" s="113"/>
      <c r="H195" s="114"/>
      <c r="I195" s="113"/>
      <c r="K195" s="114"/>
      <c r="L195" s="113"/>
    </row>
    <row r="196" spans="5:12" x14ac:dyDescent="0.35">
      <c r="E196" s="114"/>
      <c r="F196" s="113"/>
      <c r="H196" s="114"/>
      <c r="I196" s="113"/>
      <c r="K196" s="114"/>
      <c r="L196" s="113"/>
    </row>
    <row r="197" spans="5:12" x14ac:dyDescent="0.35">
      <c r="E197" s="114"/>
      <c r="F197" s="113"/>
      <c r="H197" s="114"/>
      <c r="I197" s="113"/>
      <c r="K197" s="114"/>
      <c r="L197" s="113"/>
    </row>
    <row r="198" spans="5:12" x14ac:dyDescent="0.35">
      <c r="E198" s="114"/>
      <c r="F198" s="113"/>
      <c r="H198" s="114"/>
      <c r="I198" s="113"/>
      <c r="K198" s="114"/>
      <c r="L198" s="113"/>
    </row>
    <row r="199" spans="5:12" x14ac:dyDescent="0.35">
      <c r="E199" s="114"/>
      <c r="F199" s="113"/>
      <c r="H199" s="114"/>
      <c r="I199" s="113"/>
      <c r="K199" s="114"/>
      <c r="L199" s="113"/>
    </row>
    <row r="200" spans="5:12" x14ac:dyDescent="0.35">
      <c r="E200" s="114"/>
      <c r="F200" s="113"/>
      <c r="H200" s="114"/>
      <c r="I200" s="113"/>
      <c r="K200" s="114"/>
      <c r="L200" s="113"/>
    </row>
  </sheetData>
  <mergeCells count="18">
    <mergeCell ref="D1:T1"/>
    <mergeCell ref="D2:T2"/>
    <mergeCell ref="D3:T3"/>
    <mergeCell ref="I5:K5"/>
    <mergeCell ref="P5:S5"/>
    <mergeCell ref="F7:H7"/>
    <mergeCell ref="I7:K7"/>
    <mergeCell ref="L7:N7"/>
    <mergeCell ref="O7:Q7"/>
    <mergeCell ref="R7:T7"/>
    <mergeCell ref="E45:T45"/>
    <mergeCell ref="E46:T46"/>
    <mergeCell ref="E47:T47"/>
    <mergeCell ref="F50:H50"/>
    <mergeCell ref="I50:K50"/>
    <mergeCell ref="L50:N50"/>
    <mergeCell ref="O50:Q50"/>
    <mergeCell ref="R50:T50"/>
  </mergeCells>
  <conditionalFormatting sqref="K201:K1048576 N201:N1048576 H201:H1048576">
    <cfRule type="cellIs" dxfId="33" priority="23" operator="greaterThan">
      <formula>0.9</formula>
    </cfRule>
  </conditionalFormatting>
  <conditionalFormatting sqref="Q201:Q1048576 T201:T1048576">
    <cfRule type="cellIs" dxfId="32" priority="22" operator="greaterThan">
      <formula>0.9</formula>
    </cfRule>
  </conditionalFormatting>
  <conditionalFormatting sqref="N64">
    <cfRule type="cellIs" dxfId="31" priority="9" operator="greaterThan">
      <formula>0.9</formula>
    </cfRule>
  </conditionalFormatting>
  <conditionalFormatting sqref="Q74 T74">
    <cfRule type="cellIs" dxfId="30" priority="3" operator="greaterThan">
      <formula>0.9</formula>
    </cfRule>
  </conditionalFormatting>
  <conditionalFormatting sqref="K74 H74 N74">
    <cfRule type="cellIs" dxfId="29" priority="2" operator="greaterThan">
      <formula>0.9</formula>
    </cfRule>
  </conditionalFormatting>
  <conditionalFormatting sqref="H4:H7 K4:K7 N4:N7 K65:K71 N65:N71 N75:N200 K75:K200 H75:H200 K48:K63 H48:H71 N48:N63 K9:K44 H9:H44 N9:N44">
    <cfRule type="cellIs" dxfId="28" priority="12" operator="greaterThan">
      <formula>0.9</formula>
    </cfRule>
  </conditionalFormatting>
  <conditionalFormatting sqref="Q4:Q7 T4:T7 Q65:Q71 Q75:Q200 T75:T200 Q48:Q63 T48:T71 Q9:Q36 T9:T44 Q38:Q44">
    <cfRule type="cellIs" dxfId="27" priority="11" operator="greaterThan">
      <formula>0.9</formula>
    </cfRule>
  </conditionalFormatting>
  <conditionalFormatting sqref="Q64">
    <cfRule type="cellIs" dxfId="26" priority="10" operator="greaterThan">
      <formula>0.9</formula>
    </cfRule>
  </conditionalFormatting>
  <conditionalFormatting sqref="L64 O64 R64">
    <cfRule type="cellIs" dxfId="25" priority="8" operator="notEqual">
      <formula>0</formula>
    </cfRule>
  </conditionalFormatting>
  <conditionalFormatting sqref="N72 H72 K72">
    <cfRule type="cellIs" dxfId="24" priority="7" operator="greaterThan">
      <formula>0.9</formula>
    </cfRule>
  </conditionalFormatting>
  <conditionalFormatting sqref="T72 Q72">
    <cfRule type="cellIs" dxfId="23" priority="6" operator="greaterThan">
      <formula>0.9</formula>
    </cfRule>
  </conditionalFormatting>
  <conditionalFormatting sqref="N73 H73 K73">
    <cfRule type="cellIs" dxfId="22" priority="5" operator="greaterThan">
      <formula>0.9</formula>
    </cfRule>
  </conditionalFormatting>
  <conditionalFormatting sqref="T73 Q73">
    <cfRule type="cellIs" dxfId="21" priority="4" operator="greaterThan">
      <formula>0.9</formula>
    </cfRule>
  </conditionalFormatting>
  <conditionalFormatting sqref="Q37">
    <cfRule type="cellIs" dxfId="20" priority="1" operator="greaterThan">
      <formula>0.9</formula>
    </cfRule>
  </conditionalFormatting>
  <printOptions horizontalCentered="1" verticalCentered="1"/>
  <pageMargins left="0.2" right="0.45" top="0.75" bottom="0.75" header="0.3" footer="0.3"/>
  <pageSetup scale="70" orientation="landscape" r:id="rId1"/>
  <headerFooter>
    <oddHeader xml:space="preserve">&amp;R&amp;"-,Regular"MidAmerican Docket No. 13‐0423/13‐0424 (Consol.)
Exhibit B
Page &amp;P of &amp;N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85D9-CD33-4E7C-ADBA-27F0821B0450}">
  <sheetPr codeName="Sheet7">
    <tabColor theme="3"/>
  </sheetPr>
  <dimension ref="A1:Y200"/>
  <sheetViews>
    <sheetView zoomScale="85" zoomScaleNormal="85" workbookViewId="0">
      <pane xSplit="5" ySplit="8" topLeftCell="I15" activePane="bottomRight" state="frozen"/>
      <selection activeCell="D1" sqref="D1:R1"/>
      <selection pane="topRight" activeCell="D1" sqref="D1:R1"/>
      <selection pane="bottomLeft" activeCell="D1" sqref="D1:R1"/>
      <selection pane="bottomRight" activeCell="T24" sqref="T24"/>
    </sheetView>
  </sheetViews>
  <sheetFormatPr defaultRowHeight="12.75" x14ac:dyDescent="0.35"/>
  <cols>
    <col min="1" max="1" customWidth="true" width="7.59765625" collapsed="false"/>
    <col min="2" max="2" customWidth="true" width="21.0" collapsed="false"/>
    <col min="3" max="3" customWidth="true" width="18.59765625" collapsed="false"/>
    <col min="4" max="4" customWidth="true" width="32.3984375" collapsed="false"/>
    <col min="5" max="5" customWidth="true" width="7.59765625" collapsed="false"/>
    <col min="6" max="7" customWidth="true" width="11.59765625" collapsed="false"/>
    <col min="8" max="8" customWidth="true" width="8.73046875" collapsed="false"/>
    <col min="9" max="10" customWidth="true" width="11.59765625" collapsed="false"/>
    <col min="11" max="11" customWidth="true" width="8.73046875" collapsed="false"/>
    <col min="12" max="12" customWidth="true" width="11.59765625" collapsed="false"/>
    <col min="13" max="13" bestFit="true" customWidth="true" width="12.59765625" collapsed="false"/>
    <col min="14" max="14" customWidth="true" width="8.73046875" collapsed="false"/>
    <col min="15" max="15" bestFit="true" customWidth="true" width="11.73046875" collapsed="false"/>
    <col min="16" max="16" bestFit="true" customWidth="true" width="14.265625" collapsed="false"/>
    <col min="17" max="17" customWidth="true" width="8.73046875" collapsed="false"/>
    <col min="18" max="18" customWidth="true" width="10.86328125" collapsed="false"/>
    <col min="19" max="19" customWidth="true" width="9.86328125" collapsed="false"/>
    <col min="20" max="20" customWidth="true" width="9.0" collapsed="false"/>
    <col min="21" max="25" customWidth="true" width="9.1328125" collapsed="false"/>
  </cols>
  <sheetData>
    <row r="1" spans="1:25" ht="21" x14ac:dyDescent="0.65">
      <c r="A1" s="13"/>
      <c r="B1" s="13"/>
      <c r="C1" s="13"/>
      <c r="D1" s="260" t="s">
        <v>28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21" x14ac:dyDescent="0.65">
      <c r="A2" s="13"/>
      <c r="B2" s="13"/>
      <c r="C2" s="13"/>
      <c r="D2" s="260" t="s">
        <v>29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6.899999999999999" x14ac:dyDescent="0.5">
      <c r="A3" s="13"/>
      <c r="B3" s="13"/>
      <c r="C3" s="13"/>
      <c r="D3" s="261" t="str">
        <f>TEXT($B$4,"0000")&amp; " YTD through "&amp;TEXT($A$7,"MMMMMM")</f>
        <v>2021 YTD through December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8" x14ac:dyDescent="0.55000000000000004">
      <c r="A4" s="194">
        <v>186358</v>
      </c>
      <c r="B4" s="195">
        <v>2021</v>
      </c>
      <c r="C4" s="195"/>
      <c r="D4" s="111" t="s">
        <v>30</v>
      </c>
      <c r="E4" s="112" t="s">
        <v>23</v>
      </c>
      <c r="F4" s="196"/>
      <c r="G4" s="197"/>
      <c r="H4" s="197"/>
      <c r="I4" s="197"/>
      <c r="J4" s="195"/>
      <c r="K4" s="198"/>
      <c r="L4" s="196"/>
      <c r="M4" s="195"/>
      <c r="N4" s="195"/>
      <c r="O4" s="195"/>
      <c r="P4" s="195"/>
      <c r="Q4" s="195"/>
      <c r="R4" s="195"/>
      <c r="S4" s="195"/>
      <c r="T4" s="195"/>
      <c r="U4" s="13"/>
      <c r="V4" s="13"/>
      <c r="W4" s="13"/>
      <c r="X4" s="13"/>
      <c r="Y4" s="13"/>
    </row>
    <row r="5" spans="1:25" ht="15.75" x14ac:dyDescent="0.5">
      <c r="A5" s="195"/>
      <c r="B5" s="195"/>
      <c r="C5" s="195"/>
      <c r="D5" s="199"/>
      <c r="E5" s="198"/>
      <c r="F5" s="196"/>
      <c r="G5" s="195"/>
      <c r="H5" s="198"/>
      <c r="I5" s="267" t="s">
        <v>31</v>
      </c>
      <c r="J5" s="267"/>
      <c r="K5" s="267"/>
      <c r="L5" s="196"/>
      <c r="M5" s="195"/>
      <c r="N5" s="195"/>
      <c r="O5" s="195"/>
      <c r="P5" s="266" t="s">
        <v>32</v>
      </c>
      <c r="Q5" s="266"/>
      <c r="R5" s="266"/>
      <c r="S5" s="195"/>
      <c r="T5" s="195"/>
      <c r="U5" s="13"/>
      <c r="V5" s="13"/>
      <c r="W5" s="13"/>
      <c r="X5" s="13"/>
      <c r="Y5" s="13"/>
    </row>
    <row r="6" spans="1:25" ht="14.65" thickBot="1" x14ac:dyDescent="0.5">
      <c r="A6" s="195"/>
      <c r="B6" s="195"/>
      <c r="C6" s="195"/>
      <c r="D6" s="194"/>
      <c r="E6" s="198"/>
      <c r="F6" s="196"/>
      <c r="G6" s="195"/>
      <c r="H6" s="198"/>
      <c r="I6" s="196"/>
      <c r="J6" s="195"/>
      <c r="K6" s="198"/>
      <c r="L6" s="196"/>
      <c r="M6" s="195"/>
      <c r="N6" s="195"/>
      <c r="O6" s="195"/>
      <c r="P6" s="195"/>
      <c r="Q6" s="195"/>
      <c r="R6" s="195"/>
      <c r="S6" s="195"/>
      <c r="T6" s="195"/>
      <c r="U6" s="13"/>
      <c r="V6" s="13"/>
      <c r="W6" s="13"/>
      <c r="X6" s="13"/>
      <c r="Y6" s="13"/>
    </row>
    <row r="7" spans="1:25" ht="14.25" customHeight="1" x14ac:dyDescent="0.45">
      <c r="A7" s="200">
        <v>44531</v>
      </c>
      <c r="B7" s="200"/>
      <c r="C7" s="200"/>
      <c r="D7" s="195"/>
      <c r="E7" s="198"/>
      <c r="F7" s="268" t="s">
        <v>33</v>
      </c>
      <c r="G7" s="269"/>
      <c r="H7" s="269"/>
      <c r="I7" s="270" t="s">
        <v>34</v>
      </c>
      <c r="J7" s="270"/>
      <c r="K7" s="270"/>
      <c r="L7" s="269" t="s">
        <v>35</v>
      </c>
      <c r="M7" s="269"/>
      <c r="N7" s="271"/>
      <c r="O7" s="272" t="s">
        <v>36</v>
      </c>
      <c r="P7" s="264"/>
      <c r="Q7" s="264"/>
      <c r="R7" s="264" t="s">
        <v>37</v>
      </c>
      <c r="S7" s="264"/>
      <c r="T7" s="265"/>
      <c r="U7" s="13"/>
      <c r="V7" s="13"/>
      <c r="W7" s="13"/>
      <c r="X7" s="13"/>
      <c r="Y7" s="13"/>
    </row>
    <row r="8" spans="1:25" ht="28.5" x14ac:dyDescent="0.45">
      <c r="A8" s="195">
        <f>MONTH(A7)</f>
        <v>12</v>
      </c>
      <c r="B8" s="195"/>
      <c r="C8" s="195"/>
      <c r="D8" s="195"/>
      <c r="E8" s="201" t="s">
        <v>38</v>
      </c>
      <c r="F8" s="202" t="s">
        <v>3</v>
      </c>
      <c r="G8" s="203" t="s">
        <v>39</v>
      </c>
      <c r="H8" s="203" t="s">
        <v>40</v>
      </c>
      <c r="I8" s="204" t="s">
        <v>3</v>
      </c>
      <c r="J8" s="203" t="s">
        <v>39</v>
      </c>
      <c r="K8" s="203" t="s">
        <v>40</v>
      </c>
      <c r="L8" s="204" t="s">
        <v>3</v>
      </c>
      <c r="M8" s="203" t="s">
        <v>39</v>
      </c>
      <c r="N8" s="205" t="s">
        <v>40</v>
      </c>
      <c r="O8" s="206" t="s">
        <v>3</v>
      </c>
      <c r="P8" s="203" t="s">
        <v>39</v>
      </c>
      <c r="Q8" s="203" t="s">
        <v>40</v>
      </c>
      <c r="R8" s="203" t="s">
        <v>3</v>
      </c>
      <c r="S8" s="203" t="s">
        <v>39</v>
      </c>
      <c r="T8" s="205" t="s">
        <v>40</v>
      </c>
      <c r="U8" s="13"/>
      <c r="V8" s="13"/>
      <c r="W8" s="13"/>
      <c r="X8" s="13"/>
      <c r="Y8" s="13"/>
    </row>
    <row r="9" spans="1:25" ht="14.25" x14ac:dyDescent="0.45">
      <c r="A9" s="195"/>
      <c r="B9" s="195"/>
      <c r="C9" s="195"/>
      <c r="D9" s="17" t="s">
        <v>13</v>
      </c>
      <c r="E9" s="201"/>
      <c r="F9" s="207"/>
      <c r="G9" s="201"/>
      <c r="H9" s="208"/>
      <c r="I9" s="209"/>
      <c r="J9" s="201"/>
      <c r="K9" s="208"/>
      <c r="L9" s="209"/>
      <c r="M9" s="201"/>
      <c r="N9" s="210"/>
      <c r="O9" s="211"/>
      <c r="P9" s="201"/>
      <c r="Q9" s="208"/>
      <c r="R9" s="212"/>
      <c r="S9" s="201"/>
      <c r="T9" s="210"/>
      <c r="U9" s="13"/>
      <c r="V9" s="13"/>
      <c r="W9" s="13"/>
      <c r="X9" s="13"/>
      <c r="Y9" s="13"/>
    </row>
    <row r="10" spans="1:25" ht="14.25" x14ac:dyDescent="0.45">
      <c r="A10" s="131">
        <v>17802</v>
      </c>
      <c r="B10" s="131"/>
      <c r="C10" s="131"/>
      <c r="D10" s="14" t="s">
        <v>41</v>
      </c>
      <c r="E10" s="132">
        <f>MONTH($A$7)/12</f>
        <v>1</v>
      </c>
      <c r="F10" s="133">
        <f>'[2]IA Elec - actuals 186358'!F10+'[2]IA Elec - actuals - 186355'!F10</f>
        <v>484602.01148818451</v>
      </c>
      <c r="G10" s="134">
        <f>'[2]IA Elec - actuals 186358'!G10+'[2]IA Elec - actuals - 186355'!G10</f>
        <v>653209.22337437654</v>
      </c>
      <c r="H10" s="135">
        <f>IF(G10&lt;&gt;0,F10/G10,0)</f>
        <v>0.74187870309731152</v>
      </c>
      <c r="I10" s="136">
        <f>'[2]IA Elec - actuals 186358'!I10+'[2]IA Elec - actuals - 186355'!I10</f>
        <v>1857688.13</v>
      </c>
      <c r="J10" s="134">
        <f>'[2]IA Elec - actuals 186358'!J10+'[2]IA Elec - actuals - 186355'!J10</f>
        <v>2754851</v>
      </c>
      <c r="K10" s="135">
        <f>IF(J10&lt;&gt;0,I10/J10,0)</f>
        <v>0.67433343218925446</v>
      </c>
      <c r="L10" s="136">
        <f>F10+I10</f>
        <v>2342290.1414881842</v>
      </c>
      <c r="M10" s="166">
        <f>G10+J10</f>
        <v>3408060.2233743765</v>
      </c>
      <c r="N10" s="137">
        <f>IF(M10&lt;&gt;0,L10/M10,0)</f>
        <v>0.68727956314370653</v>
      </c>
      <c r="O10" s="138">
        <f>'[2]IA Elec - actuals 186358'!O10+'[2]IA Elec - actuals - 186355'!O10</f>
        <v>3810183.5547000002</v>
      </c>
      <c r="P10" s="139">
        <f>'[2]IA Elec - actuals 186358'!P10+'[2]IA Elec - actuals - 186355'!P10</f>
        <v>3508507</v>
      </c>
      <c r="Q10" s="135">
        <f>IF(P10&lt;&gt;0,O10/P10,0)</f>
        <v>1.0859843103348519</v>
      </c>
      <c r="R10" s="140">
        <f>'[2]IA Elec - actuals 186358'!R10+'[2]IA Elec - actuals - 186355'!R10</f>
        <v>2292.2943999999998</v>
      </c>
      <c r="S10" s="139">
        <f>'[2]IA Elec - actuals 186358'!S10+'[2]IA Elec - actuals - 186355'!S10</f>
        <v>3239.3390272908819</v>
      </c>
      <c r="T10" s="137">
        <f>IF(S10&lt;&gt;0,R10/S10,0)</f>
        <v>0.70764263347794354</v>
      </c>
      <c r="U10" s="13"/>
      <c r="V10" s="13"/>
      <c r="W10" s="13"/>
      <c r="X10" s="13"/>
      <c r="Y10" s="13"/>
    </row>
    <row r="11" spans="1:25" ht="14.25" x14ac:dyDescent="0.45">
      <c r="A11" s="131">
        <v>17808</v>
      </c>
      <c r="B11" s="131"/>
      <c r="C11" s="131"/>
      <c r="D11" s="14" t="s">
        <v>85</v>
      </c>
      <c r="E11" s="132">
        <f t="shared" ref="E11:E61" si="0">MONTH($A$7)/12</f>
        <v>1</v>
      </c>
      <c r="F11" s="133">
        <f>'[2]IA Elec - actuals 186358'!F11+'[2]IA Elec - actuals - 186355'!F11</f>
        <v>84970.107871245156</v>
      </c>
      <c r="G11" s="134">
        <f>'[2]IA Elec - actuals 186358'!G11+'[2]IA Elec - actuals - 186355'!G11</f>
        <v>227196.90042273223</v>
      </c>
      <c r="H11" s="135">
        <f t="shared" ref="H11:H20" si="1">IF(G11&lt;&gt;0,F11/G11,0)</f>
        <v>0.3739932530467896</v>
      </c>
      <c r="I11" s="134">
        <f>'[2]IA Elec - actuals 186358'!I11+'[2]IA Elec - actuals - 186355'!I11</f>
        <v>866587.76</v>
      </c>
      <c r="J11" s="134">
        <f>'[2]IA Elec - actuals 186358'!J11+'[2]IA Elec - actuals - 186355'!J11</f>
        <v>745317.3415842175</v>
      </c>
      <c r="K11" s="135">
        <f t="shared" ref="K11:K20" si="2">IF(J11&lt;&gt;0,I11/J11,0)</f>
        <v>1.1627097769629442</v>
      </c>
      <c r="L11" s="136">
        <f t="shared" ref="L11:M12" si="3">F11+I11</f>
        <v>951557.86787124514</v>
      </c>
      <c r="M11" s="166">
        <f t="shared" si="3"/>
        <v>972514.24200694973</v>
      </c>
      <c r="N11" s="137">
        <f t="shared" ref="N11:N20" si="4">IF(M11&lt;&gt;0,L11/M11,0)</f>
        <v>0.97845134474076434</v>
      </c>
      <c r="O11" s="138">
        <f>'[2]IA Elec - actuals 186358'!O11+'[2]IA Elec - actuals - 186355'!O11</f>
        <v>3718361.2248</v>
      </c>
      <c r="P11" s="139">
        <f>'[2]IA Elec - actuals 186358'!P11+'[2]IA Elec - actuals - 186355'!P11</f>
        <v>5764320</v>
      </c>
      <c r="Q11" s="135">
        <f t="shared" ref="Q11:Q20" si="5">IF(P11&lt;&gt;0,O11/P11,0)</f>
        <v>0.64506502498126406</v>
      </c>
      <c r="R11" s="140">
        <f>'[2]IA Elec - actuals 186358'!R11+'[2]IA Elec - actuals - 186355'!R11</f>
        <v>425.53470000000004</v>
      </c>
      <c r="S11" s="139">
        <f>'[2]IA Elec - actuals 186358'!S11+'[2]IA Elec - actuals - 186355'!S11</f>
        <v>676.77403811608974</v>
      </c>
      <c r="T11" s="137">
        <f t="shared" ref="T11:T20" si="6">IF(S11&lt;&gt;0,R11/S11,0)</f>
        <v>0.62876924354921304</v>
      </c>
      <c r="U11" s="13"/>
      <c r="V11" s="13"/>
      <c r="W11" s="13"/>
      <c r="X11" s="13"/>
      <c r="Y11" s="13"/>
    </row>
    <row r="12" spans="1:25" ht="14.25" x14ac:dyDescent="0.45">
      <c r="A12" s="131">
        <v>17806</v>
      </c>
      <c r="B12" s="131"/>
      <c r="C12" s="131"/>
      <c r="D12" s="14" t="s">
        <v>47</v>
      </c>
      <c r="E12" s="132">
        <f t="shared" si="0"/>
        <v>1</v>
      </c>
      <c r="F12" s="133">
        <f>'[2]IA Elec - actuals 186358'!F12+'[2]IA Elec - actuals - 186355'!F12</f>
        <v>0</v>
      </c>
      <c r="G12" s="134">
        <f>'[2]IA Elec - actuals 186358'!G12+'[2]IA Elec - actuals - 186355'!G12</f>
        <v>0</v>
      </c>
      <c r="H12" s="135">
        <f t="shared" si="1"/>
        <v>0</v>
      </c>
      <c r="I12" s="134">
        <f>'[2]IA Elec - actuals 186358'!I12+'[2]IA Elec - actuals - 186355'!I12</f>
        <v>0</v>
      </c>
      <c r="J12" s="134">
        <f>'[2]IA Elec - actuals 186358'!J12+'[2]IA Elec - actuals - 186355'!J12</f>
        <v>0</v>
      </c>
      <c r="K12" s="135">
        <f>IF(J12&lt;&gt;0,I12/J12,0)</f>
        <v>0</v>
      </c>
      <c r="L12" s="136">
        <f t="shared" si="3"/>
        <v>0</v>
      </c>
      <c r="M12" s="166">
        <f t="shared" si="3"/>
        <v>0</v>
      </c>
      <c r="N12" s="137">
        <f>IF(M12&lt;&gt;0,L12/M12,0)</f>
        <v>0</v>
      </c>
      <c r="O12" s="138">
        <f>'[2]IA Elec - actuals 186358'!O12+'[2]IA Elec - actuals - 186355'!O12</f>
        <v>0</v>
      </c>
      <c r="P12" s="139">
        <f>'[2]IA Elec - actuals 186358'!P12+'[2]IA Elec - actuals - 186355'!P12</f>
        <v>0</v>
      </c>
      <c r="Q12" s="135">
        <f>IF(P12&lt;&gt;0,O12/P12,0)</f>
        <v>0</v>
      </c>
      <c r="R12" s="140">
        <f>'[2]IA Elec - actuals 186358'!R12+'[2]IA Elec - actuals - 186355'!R12</f>
        <v>0</v>
      </c>
      <c r="S12" s="139">
        <f>'[2]IA Elec - actuals 186358'!S12+'[2]IA Elec - actuals - 186355'!S12</f>
        <v>0</v>
      </c>
      <c r="T12" s="137">
        <f>IF(S12&lt;&gt;0,R12/S12,0)</f>
        <v>0</v>
      </c>
      <c r="U12" s="13"/>
      <c r="V12" s="13"/>
      <c r="W12" s="13"/>
      <c r="X12" s="13"/>
      <c r="Y12" s="13"/>
    </row>
    <row r="13" spans="1:25" ht="14.25" x14ac:dyDescent="0.45">
      <c r="A13" s="131">
        <v>17860</v>
      </c>
      <c r="B13" s="131"/>
      <c r="C13" s="131"/>
      <c r="D13" s="14" t="s">
        <v>18</v>
      </c>
      <c r="E13" s="132">
        <f t="shared" si="0"/>
        <v>1</v>
      </c>
      <c r="F13" s="133">
        <f>'[2]IA Elec - actuals 186358'!F13+'[2]IA Elec - actuals - 186355'!F13</f>
        <v>353414.78337073943</v>
      </c>
      <c r="G13" s="134">
        <f>'[2]IA Elec - actuals 186358'!G13+'[2]IA Elec - actuals - 186355'!G13</f>
        <v>545400</v>
      </c>
      <c r="H13" s="135">
        <f t="shared" si="1"/>
        <v>0.64799190203655932</v>
      </c>
      <c r="I13" s="134">
        <f>'[2]IA Elec - actuals 186358'!I13+'[2]IA Elec - actuals - 186355'!I13</f>
        <v>562238.74</v>
      </c>
      <c r="J13" s="134">
        <f>'[2]IA Elec - actuals 186358'!J13+'[2]IA Elec - actuals - 186355'!J13</f>
        <v>952600</v>
      </c>
      <c r="K13" s="135">
        <f t="shared" si="2"/>
        <v>0.59021492756665961</v>
      </c>
      <c r="L13" s="136">
        <f>F13+I13</f>
        <v>915653.52337073942</v>
      </c>
      <c r="M13" s="166">
        <f>G13+J13</f>
        <v>1498000</v>
      </c>
      <c r="N13" s="137">
        <f t="shared" si="4"/>
        <v>0.61125068315803699</v>
      </c>
      <c r="O13" s="138">
        <f>'[2]IA Elec - actuals 186358'!O13+'[2]IA Elec - actuals - 186355'!O13</f>
        <v>21147064.899999999</v>
      </c>
      <c r="P13" s="139">
        <f>'[2]IA Elec - actuals 186358'!P13+'[2]IA Elec - actuals - 186355'!P13</f>
        <v>29499800</v>
      </c>
      <c r="Q13" s="135">
        <f t="shared" si="5"/>
        <v>0.71685451765774677</v>
      </c>
      <c r="R13" s="140">
        <f>'[2]IA Elec - actuals 186358'!R13+'[2]IA Elec - actuals - 186355'!R13</f>
        <v>6964.93</v>
      </c>
      <c r="S13" s="139">
        <f>'[2]IA Elec - actuals 186358'!S13+'[2]IA Elec - actuals - 186355'!S13</f>
        <v>9599.6495941435878</v>
      </c>
      <c r="T13" s="137">
        <f t="shared" si="6"/>
        <v>0.72554002432016496</v>
      </c>
      <c r="U13" s="13"/>
      <c r="V13" s="13"/>
      <c r="W13" s="13"/>
      <c r="X13" s="13"/>
      <c r="Y13" s="13"/>
    </row>
    <row r="14" spans="1:25" ht="14.25" x14ac:dyDescent="0.45">
      <c r="A14" s="131">
        <v>17859</v>
      </c>
      <c r="B14" s="131"/>
      <c r="C14" s="131"/>
      <c r="D14" s="14" t="s">
        <v>19</v>
      </c>
      <c r="E14" s="132">
        <f t="shared" si="0"/>
        <v>1</v>
      </c>
      <c r="F14" s="133">
        <f>'[2]IA Elec - actuals 186358'!F14+'[2]IA Elec - actuals - 186355'!F14</f>
        <v>0</v>
      </c>
      <c r="G14" s="134">
        <f>'[2]IA Elec - actuals 186358'!G14+'[2]IA Elec - actuals - 186355'!G14</f>
        <v>0</v>
      </c>
      <c r="H14" s="135">
        <f t="shared" si="1"/>
        <v>0</v>
      </c>
      <c r="I14" s="134">
        <f>'[2]IA Elec - actuals 186358'!I14+'[2]IA Elec - actuals - 186355'!I14</f>
        <v>0</v>
      </c>
      <c r="J14" s="134">
        <f>'[2]IA Elec - actuals 186358'!J14+'[2]IA Elec - actuals - 186355'!J14</f>
        <v>0</v>
      </c>
      <c r="K14" s="135">
        <f t="shared" si="2"/>
        <v>0</v>
      </c>
      <c r="L14" s="136">
        <f t="shared" ref="L14:M14" si="7">F14+I14</f>
        <v>0</v>
      </c>
      <c r="M14" s="166">
        <f t="shared" si="7"/>
        <v>0</v>
      </c>
      <c r="N14" s="137">
        <f t="shared" si="4"/>
        <v>0</v>
      </c>
      <c r="O14" s="138">
        <f>'[2]IA Elec - actuals 186358'!O14+'[2]IA Elec - actuals - 186355'!O14</f>
        <v>0</v>
      </c>
      <c r="P14" s="139">
        <f>'[2]IA Elec - actuals 186358'!P14+'[2]IA Elec - actuals - 186355'!P14</f>
        <v>0</v>
      </c>
      <c r="Q14" s="135">
        <f t="shared" si="5"/>
        <v>0</v>
      </c>
      <c r="R14" s="140">
        <f>'[2]IA Elec - actuals 186358'!R14+'[2]IA Elec - actuals - 186355'!R14</f>
        <v>0</v>
      </c>
      <c r="S14" s="139">
        <f>'[2]IA Elec - actuals 186358'!S14+'[2]IA Elec - actuals - 186355'!S14</f>
        <v>0</v>
      </c>
      <c r="T14" s="137">
        <f t="shared" si="6"/>
        <v>0</v>
      </c>
      <c r="U14" s="13"/>
      <c r="V14" s="13"/>
      <c r="W14" s="13"/>
      <c r="X14" s="13"/>
      <c r="Y14" s="13"/>
    </row>
    <row r="15" spans="1:25" ht="14.25" x14ac:dyDescent="0.45">
      <c r="A15" s="131">
        <v>17857</v>
      </c>
      <c r="B15" s="131"/>
      <c r="C15" s="131"/>
      <c r="D15" s="14" t="s">
        <v>42</v>
      </c>
      <c r="E15" s="132">
        <f t="shared" si="0"/>
        <v>1</v>
      </c>
      <c r="F15" s="133">
        <f>'[2]IA Elec - actuals 186358'!F15+'[2]IA Elec - actuals - 186355'!F15</f>
        <v>146606.27252408044</v>
      </c>
      <c r="G15" s="134">
        <f>'[2]IA Elec - actuals 186358'!G15+'[2]IA Elec - actuals - 186355'!G15</f>
        <v>205916.2336634681</v>
      </c>
      <c r="H15" s="135">
        <f t="shared" si="1"/>
        <v>0.71197044504845208</v>
      </c>
      <c r="I15" s="161">
        <f>'[2]IA Elec - actuals 186358'!I15+'[2]IA Elec - actuals - 186355'!I15</f>
        <v>419103</v>
      </c>
      <c r="J15" s="134">
        <f>'[2]IA Elec - actuals 186358'!J15+'[2]IA Elec - actuals - 186355'!J15</f>
        <v>876920</v>
      </c>
      <c r="K15" s="135">
        <f t="shared" si="2"/>
        <v>0.47792615061807237</v>
      </c>
      <c r="L15" s="136">
        <f>F15+I15</f>
        <v>565709.27252408047</v>
      </c>
      <c r="M15" s="166">
        <f>G15+J15</f>
        <v>1082836.2336634682</v>
      </c>
      <c r="N15" s="137">
        <f t="shared" si="4"/>
        <v>0.52243289884211219</v>
      </c>
      <c r="O15" s="138">
        <f>'[2]IA Elec - actuals 186358'!O15+'[2]IA Elec - actuals - 186355'!O15</f>
        <v>2552728.3199999998</v>
      </c>
      <c r="P15" s="139">
        <f>'[2]IA Elec - actuals 186358'!P15+'[2]IA Elec - actuals - 186355'!P15</f>
        <v>5256114.5999999978</v>
      </c>
      <c r="Q15" s="135">
        <f t="shared" si="5"/>
        <v>0.48566831476619648</v>
      </c>
      <c r="R15" s="140">
        <f>'[2]IA Elec - actuals 186358'!R15+'[2]IA Elec - actuals - 186355'!R15</f>
        <v>353.8646</v>
      </c>
      <c r="S15" s="139">
        <f>'[2]IA Elec - actuals 186358'!S15+'[2]IA Elec - actuals - 186355'!S15</f>
        <v>731.56483433232415</v>
      </c>
      <c r="T15" s="137">
        <f t="shared" si="6"/>
        <v>0.4837091442796877</v>
      </c>
      <c r="U15" s="13"/>
      <c r="V15" s="13"/>
      <c r="W15" s="13"/>
      <c r="X15" s="13"/>
      <c r="Y15" s="13"/>
    </row>
    <row r="16" spans="1:25" ht="14.25" x14ac:dyDescent="0.45">
      <c r="A16" s="131">
        <v>17858</v>
      </c>
      <c r="B16" s="131"/>
      <c r="C16" s="131"/>
      <c r="D16" s="14" t="s">
        <v>20</v>
      </c>
      <c r="E16" s="132">
        <f t="shared" si="0"/>
        <v>1</v>
      </c>
      <c r="F16" s="133">
        <f>'[2]IA Elec - actuals 186358'!F16+'[2]IA Elec - actuals - 186355'!F16</f>
        <v>0</v>
      </c>
      <c r="G16" s="134">
        <f>'[2]IA Elec - actuals 186358'!G16+'[2]IA Elec - actuals - 186355'!G16</f>
        <v>0</v>
      </c>
      <c r="H16" s="135">
        <f t="shared" si="1"/>
        <v>0</v>
      </c>
      <c r="I16" s="161">
        <f>'[2]IA Elec - actuals 186358'!I16+'[2]IA Elec - actuals - 186355'!I16</f>
        <v>0</v>
      </c>
      <c r="J16" s="134">
        <f>'[2]IA Elec - actuals 186358'!J16+'[2]IA Elec - actuals - 186355'!J16</f>
        <v>0</v>
      </c>
      <c r="K16" s="135">
        <f t="shared" si="2"/>
        <v>0</v>
      </c>
      <c r="L16" s="136">
        <f t="shared" ref="L16:M19" si="8">F16+I16</f>
        <v>0</v>
      </c>
      <c r="M16" s="166">
        <f t="shared" si="8"/>
        <v>0</v>
      </c>
      <c r="N16" s="137">
        <f t="shared" si="4"/>
        <v>0</v>
      </c>
      <c r="O16" s="138">
        <f>'[2]IA Elec - actuals 186358'!O16+'[2]IA Elec - actuals - 186355'!O16</f>
        <v>0</v>
      </c>
      <c r="P16" s="139">
        <f>'[2]IA Elec - actuals 186358'!P16+'[2]IA Elec - actuals - 186355'!P16</f>
        <v>0</v>
      </c>
      <c r="Q16" s="135">
        <f t="shared" si="5"/>
        <v>0</v>
      </c>
      <c r="R16" s="140">
        <f>'[2]IA Elec - actuals 186358'!R16+'[2]IA Elec - actuals - 186355'!R16</f>
        <v>0</v>
      </c>
      <c r="S16" s="139">
        <f>'[2]IA Elec - actuals 186358'!S16+'[2]IA Elec - actuals - 186355'!S16</f>
        <v>0</v>
      </c>
      <c r="T16" s="137">
        <f t="shared" si="6"/>
        <v>0</v>
      </c>
      <c r="U16" s="13"/>
      <c r="V16" s="13"/>
      <c r="W16" s="13"/>
      <c r="X16" s="13"/>
      <c r="Y16" s="13"/>
    </row>
    <row r="17" spans="1:20" ht="14.25" x14ac:dyDescent="0.45">
      <c r="A17" s="131">
        <v>17839</v>
      </c>
      <c r="B17" s="131"/>
      <c r="C17" s="131"/>
      <c r="D17" s="14" t="s">
        <v>43</v>
      </c>
      <c r="E17" s="132">
        <f t="shared" si="0"/>
        <v>1</v>
      </c>
      <c r="F17" s="133">
        <f>'[2]IA Elec - actuals 186358'!F17+'[2]IA Elec - actuals - 186355'!F17</f>
        <v>151238.99852151063</v>
      </c>
      <c r="G17" s="134">
        <f>'[2]IA Elec - actuals 186358'!G17+'[2]IA Elec - actuals - 186355'!G17</f>
        <v>54410</v>
      </c>
      <c r="H17" s="135">
        <f t="shared" si="1"/>
        <v>2.7796176901582546</v>
      </c>
      <c r="I17" s="161">
        <f>'[2]IA Elec - actuals 186358'!I17+'[2]IA Elec - actuals - 186355'!I17</f>
        <v>375207.56</v>
      </c>
      <c r="J17" s="134">
        <f>'[2]IA Elec - actuals 186358'!J17+'[2]IA Elec - actuals - 186355'!J17</f>
        <v>678150.84997153142</v>
      </c>
      <c r="K17" s="135">
        <f t="shared" si="2"/>
        <v>0.55328038004486924</v>
      </c>
      <c r="L17" s="136">
        <f t="shared" si="8"/>
        <v>526446.55852151057</v>
      </c>
      <c r="M17" s="166">
        <f t="shared" si="8"/>
        <v>732560.84997153142</v>
      </c>
      <c r="N17" s="137">
        <f t="shared" si="4"/>
        <v>0.71863867491959088</v>
      </c>
      <c r="O17" s="138">
        <f>'[2]IA Elec - actuals 186358'!O17+'[2]IA Elec - actuals - 186355'!O17</f>
        <v>477631.07</v>
      </c>
      <c r="P17" s="139">
        <f>'[2]IA Elec - actuals 186358'!P17+'[2]IA Elec - actuals - 186355'!P17</f>
        <v>72662.74000000002</v>
      </c>
      <c r="Q17" s="135">
        <f t="shared" si="5"/>
        <v>6.5732598302789009</v>
      </c>
      <c r="R17" s="140">
        <f>'[2]IA Elec - actuals 186358'!R17+'[2]IA Elec - actuals - 186355'!R17</f>
        <v>76.017300000000006</v>
      </c>
      <c r="S17" s="139">
        <f>'[2]IA Elec - actuals 186358'!S17+'[2]IA Elec - actuals - 186355'!S17</f>
        <v>28.329348816029146</v>
      </c>
      <c r="T17" s="137">
        <f t="shared" si="6"/>
        <v>2.6833408877011795</v>
      </c>
    </row>
    <row r="18" spans="1:20" ht="14.25" x14ac:dyDescent="0.45">
      <c r="A18" s="131">
        <v>17855</v>
      </c>
      <c r="B18" s="131"/>
      <c r="C18" s="131"/>
      <c r="D18" s="14" t="s">
        <v>95</v>
      </c>
      <c r="E18" s="132">
        <f t="shared" si="0"/>
        <v>1</v>
      </c>
      <c r="F18" s="133">
        <f>'[2]IA Elec - actuals 186358'!F18+'[2]IA Elec - actuals - 186355'!F18</f>
        <v>0</v>
      </c>
      <c r="G18" s="134">
        <f>'[2]IA Elec - actuals 186358'!G18+'[2]IA Elec - actuals - 186355'!G18</f>
        <v>0</v>
      </c>
      <c r="H18" s="135">
        <f t="shared" si="1"/>
        <v>0</v>
      </c>
      <c r="I18" s="161">
        <f>'[2]IA Elec - actuals 186358'!I18+'[2]IA Elec - actuals - 186355'!I18</f>
        <v>0</v>
      </c>
      <c r="J18" s="134">
        <f>'[2]IA Elec - actuals 186358'!J18+'[2]IA Elec - actuals - 186355'!J18</f>
        <v>0</v>
      </c>
      <c r="K18" s="135">
        <f t="shared" si="2"/>
        <v>0</v>
      </c>
      <c r="L18" s="136">
        <f t="shared" si="8"/>
        <v>0</v>
      </c>
      <c r="M18" s="166">
        <f t="shared" si="8"/>
        <v>0</v>
      </c>
      <c r="N18" s="137">
        <f t="shared" si="4"/>
        <v>0</v>
      </c>
      <c r="O18" s="138">
        <f>'[2]IA Elec - actuals 186358'!O18+'[2]IA Elec - actuals - 186355'!O18</f>
        <v>0</v>
      </c>
      <c r="P18" s="139">
        <f>'[2]IA Elec - actuals 186358'!P18+'[2]IA Elec - actuals - 186355'!P18</f>
        <v>0</v>
      </c>
      <c r="Q18" s="135">
        <f t="shared" si="5"/>
        <v>0</v>
      </c>
      <c r="R18" s="140">
        <f>'[2]IA Elec - actuals 186358'!R18+'[2]IA Elec - actuals - 186355'!R18</f>
        <v>0</v>
      </c>
      <c r="S18" s="139">
        <f>'[2]IA Elec - actuals 186358'!S18+'[2]IA Elec - actuals - 186355'!S18</f>
        <v>0</v>
      </c>
      <c r="T18" s="137">
        <f t="shared" si="6"/>
        <v>0</v>
      </c>
    </row>
    <row r="19" spans="1:20" s="15" customFormat="1" ht="14.25" x14ac:dyDescent="0.45">
      <c r="A19" s="131">
        <v>17853</v>
      </c>
      <c r="B19" s="131"/>
      <c r="C19" s="131"/>
      <c r="D19" s="14" t="s">
        <v>96</v>
      </c>
      <c r="E19" s="132">
        <f t="shared" si="0"/>
        <v>1</v>
      </c>
      <c r="F19" s="133">
        <f>'[2]IA Elec - actuals 186358'!F19+'[2]IA Elec - actuals - 186355'!F19</f>
        <v>0</v>
      </c>
      <c r="G19" s="134">
        <f>'[2]IA Elec - actuals 186358'!G19+'[2]IA Elec - actuals - 186355'!G19</f>
        <v>0</v>
      </c>
      <c r="H19" s="135">
        <f t="shared" si="1"/>
        <v>0</v>
      </c>
      <c r="I19" s="161">
        <f>'[2]IA Elec - actuals 186358'!I19+'[2]IA Elec - actuals - 186355'!I19</f>
        <v>0</v>
      </c>
      <c r="J19" s="134">
        <f>'[2]IA Elec - actuals 186358'!J19+'[2]IA Elec - actuals - 186355'!J19</f>
        <v>0</v>
      </c>
      <c r="K19" s="135">
        <f t="shared" si="2"/>
        <v>0</v>
      </c>
      <c r="L19" s="136">
        <f t="shared" si="8"/>
        <v>0</v>
      </c>
      <c r="M19" s="166">
        <f t="shared" si="8"/>
        <v>0</v>
      </c>
      <c r="N19" s="137">
        <f t="shared" si="4"/>
        <v>0</v>
      </c>
      <c r="O19" s="138">
        <f>'[2]IA Elec - actuals 186358'!O19+'[2]IA Elec - actuals - 186355'!O19</f>
        <v>0</v>
      </c>
      <c r="P19" s="139">
        <f>'[2]IA Elec - actuals 186358'!P19+'[2]IA Elec - actuals - 186355'!P19</f>
        <v>0</v>
      </c>
      <c r="Q19" s="135">
        <f t="shared" si="5"/>
        <v>0</v>
      </c>
      <c r="R19" s="140">
        <f>'[2]IA Elec - actuals 186358'!R19+'[2]IA Elec - actuals - 186355'!R19</f>
        <v>0</v>
      </c>
      <c r="S19" s="139">
        <f>'[2]IA Elec - actuals 186358'!S19+'[2]IA Elec - actuals - 186355'!S19</f>
        <v>0</v>
      </c>
      <c r="T19" s="137">
        <f t="shared" si="6"/>
        <v>0</v>
      </c>
    </row>
    <row r="20" spans="1:20" ht="14.65" thickBot="1" x14ac:dyDescent="0.5">
      <c r="A20" s="131">
        <v>17849</v>
      </c>
      <c r="B20" s="131"/>
      <c r="C20" s="131"/>
      <c r="D20" s="14" t="s">
        <v>44</v>
      </c>
      <c r="E20" s="132">
        <f t="shared" si="0"/>
        <v>1</v>
      </c>
      <c r="F20" s="141">
        <f>'[2]IA Elec - actuals 186358'!F20+'[2]IA Elec - actuals - 186355'!F20</f>
        <v>81792.705755231858</v>
      </c>
      <c r="G20" s="162">
        <f>'[2]IA Elec - actuals 186358'!G20+'[2]IA Elec - actuals - 186355'!G20</f>
        <v>180000</v>
      </c>
      <c r="H20" s="135">
        <f t="shared" si="1"/>
        <v>0.45440392086239922</v>
      </c>
      <c r="I20" s="142">
        <f>'[2]IA Elec - actuals 186358'!I20+'[2]IA Elec - actuals - 186355'!I20</f>
        <v>0</v>
      </c>
      <c r="J20" s="142">
        <f>'[2]IA Elec - actuals 186358'!J20+'[2]IA Elec - actuals - 186355'!J20</f>
        <v>0</v>
      </c>
      <c r="K20" s="135">
        <f t="shared" si="2"/>
        <v>0</v>
      </c>
      <c r="L20" s="143">
        <f>F20+I20</f>
        <v>81792.705755231858</v>
      </c>
      <c r="M20" s="213">
        <f>G20+J20</f>
        <v>180000</v>
      </c>
      <c r="N20" s="137">
        <f t="shared" si="4"/>
        <v>0.45440392086239922</v>
      </c>
      <c r="O20" s="144">
        <f>'[2]IA Elec - actuals 186358'!O20+'[2]IA Elec - actuals - 186355'!O20</f>
        <v>0</v>
      </c>
      <c r="P20" s="145">
        <f>'[2]IA Elec - actuals 186358'!P20+'[2]IA Elec - actuals - 186355'!P20</f>
        <v>0</v>
      </c>
      <c r="Q20" s="135">
        <f t="shared" si="5"/>
        <v>0</v>
      </c>
      <c r="R20" s="146">
        <f>'[2]IA Elec - actuals 186358'!R20+'[2]IA Elec - actuals - 186355'!R20</f>
        <v>0</v>
      </c>
      <c r="S20" s="145">
        <f>'[2]IA Elec - actuals 186358'!S20+'[2]IA Elec - actuals - 186355'!S20</f>
        <v>0</v>
      </c>
      <c r="T20" s="137">
        <f t="shared" si="6"/>
        <v>0</v>
      </c>
    </row>
    <row r="21" spans="1:20" ht="15" thickTop="1" thickBot="1" x14ac:dyDescent="0.5">
      <c r="A21" s="147"/>
      <c r="B21" s="147"/>
      <c r="C21" s="147"/>
      <c r="D21" s="16" t="s">
        <v>45</v>
      </c>
      <c r="E21" s="148"/>
      <c r="F21" s="149">
        <f>SUM(F10:F20)</f>
        <v>1302624.8795309919</v>
      </c>
      <c r="G21" s="150">
        <f>SUM(G10:G20)</f>
        <v>1866132.357460577</v>
      </c>
      <c r="H21" s="151">
        <f t="shared" ref="H21:H35" si="9">F21/G21</f>
        <v>0.69803456026216537</v>
      </c>
      <c r="I21" s="150">
        <f>SUM(I10:I20)</f>
        <v>4080825.19</v>
      </c>
      <c r="J21" s="150">
        <f>SUM(J10:J20)</f>
        <v>6007839.1915557496</v>
      </c>
      <c r="K21" s="151">
        <f t="shared" ref="K21:K35" si="10">I21/J21</f>
        <v>0.67925006976480951</v>
      </c>
      <c r="L21" s="152">
        <f>SUM(L10:L20)</f>
        <v>5383450.0695309918</v>
      </c>
      <c r="M21" s="150">
        <f>SUM(M10:M20)</f>
        <v>7873971.5490163248</v>
      </c>
      <c r="N21" s="153">
        <f t="shared" ref="N21:N35" si="11">L21/M21</f>
        <v>0.68370199663771103</v>
      </c>
      <c r="O21" s="154">
        <f>SUM(O10:O20)</f>
        <v>31705969.069499999</v>
      </c>
      <c r="P21" s="155">
        <f>SUM(P10:P20)</f>
        <v>44101404.339999996</v>
      </c>
      <c r="Q21" s="156">
        <f t="shared" ref="Q21" si="12">O21/P21</f>
        <v>0.71893332069570104</v>
      </c>
      <c r="R21" s="155">
        <f>SUM(R10:R20)</f>
        <v>10112.641</v>
      </c>
      <c r="S21" s="155">
        <f>SUM(S10:S20)</f>
        <v>14275.656842698912</v>
      </c>
      <c r="T21" s="157">
        <f t="shared" ref="T21" si="13">R21/S21</f>
        <v>0.70838358692909953</v>
      </c>
    </row>
    <row r="22" spans="1:20" ht="14.65" thickTop="1" x14ac:dyDescent="0.45">
      <c r="E22" s="158"/>
      <c r="F22" s="133"/>
      <c r="H22" s="159"/>
      <c r="I22" s="134"/>
      <c r="K22" s="135"/>
      <c r="L22" s="136"/>
      <c r="N22" s="137"/>
      <c r="O22" s="138"/>
      <c r="P22" s="160"/>
      <c r="Q22" s="135"/>
      <c r="R22" s="140"/>
      <c r="S22" s="160"/>
      <c r="T22" s="137"/>
    </row>
    <row r="23" spans="1:20" ht="14.25" x14ac:dyDescent="0.45">
      <c r="D23" s="17" t="s">
        <v>46</v>
      </c>
      <c r="E23" s="158"/>
      <c r="F23" s="133"/>
      <c r="H23" s="159"/>
      <c r="I23" s="134"/>
      <c r="K23" s="135"/>
      <c r="L23" s="136"/>
      <c r="N23" s="137"/>
      <c r="O23" s="138"/>
      <c r="P23" s="160"/>
      <c r="Q23" s="135"/>
      <c r="R23" s="140"/>
      <c r="S23" s="160"/>
      <c r="T23" s="137"/>
    </row>
    <row r="24" spans="1:20" ht="14.25" x14ac:dyDescent="0.45">
      <c r="A24" s="131">
        <v>17805</v>
      </c>
      <c r="B24" s="131"/>
      <c r="C24" s="131"/>
      <c r="D24" s="14" t="s">
        <v>41</v>
      </c>
      <c r="E24" s="132">
        <f t="shared" ref="E24:E66" si="14">MONTH($A$7)/12</f>
        <v>1</v>
      </c>
      <c r="F24" s="133">
        <f>'[2]IA Elec - actuals 186358'!F24+'[2]IA Elec - actuals - 186355'!F24</f>
        <v>725466.97553800815</v>
      </c>
      <c r="G24" s="134">
        <f>'[2]IA Elec - actuals 186358'!G24+'[2]IA Elec - actuals - 186355'!G24</f>
        <v>792145.15180366463</v>
      </c>
      <c r="H24" s="135">
        <f>IF(G24&lt;&gt;0,F24/G24,0)</f>
        <v>0.91582581031540178</v>
      </c>
      <c r="I24" s="134">
        <f>'[2]IA Elec - actuals 186358'!I24+'[2]IA Elec - actuals - 186355'!I24</f>
        <v>1922346.27</v>
      </c>
      <c r="J24" s="134">
        <f>'[2]IA Elec - actuals 186358'!J24+'[2]IA Elec - actuals - 186355'!J24</f>
        <v>4860748.0267284736</v>
      </c>
      <c r="K24" s="135">
        <f>IF(J24&lt;&gt;0,I24/J24,0)</f>
        <v>0.39548362915117719</v>
      </c>
      <c r="L24" s="136">
        <f>F24+I24</f>
        <v>2647813.2455380084</v>
      </c>
      <c r="M24" s="166">
        <f>G24+J24</f>
        <v>5652893.1785321385</v>
      </c>
      <c r="N24" s="137">
        <f>IF(M24&lt;&gt;0,L24/M24,0)</f>
        <v>0.46839966047714249</v>
      </c>
      <c r="O24" s="138">
        <f>'[2]IA Elec - actuals 186358'!O24+'[2]IA Elec - actuals - 186355'!O24</f>
        <v>14905117.8058</v>
      </c>
      <c r="P24" s="139">
        <f>'[2]IA Elec - actuals 186358'!P24+'[2]IA Elec - actuals - 186355'!P24</f>
        <v>27344775</v>
      </c>
      <c r="Q24" s="135">
        <f>IF(P24&lt;&gt;0,O24/P24,0)</f>
        <v>0.54508101843222334</v>
      </c>
      <c r="R24" s="140">
        <f>'[2]IA Elec - actuals 186358'!R24+'[2]IA Elec - actuals - 186355'!R24</f>
        <v>2276.7948999999999</v>
      </c>
      <c r="S24" s="139">
        <f>'[2]IA Elec - actuals 186358'!S24+'[2]IA Elec - actuals - 186355'!S24</f>
        <v>9754.1107519129218</v>
      </c>
      <c r="T24" s="137">
        <f>IF(S24&lt;&gt;0,R24/S24,0)</f>
        <v>0.23341901254847733</v>
      </c>
    </row>
    <row r="25" spans="1:20" ht="14.25" x14ac:dyDescent="0.45">
      <c r="A25" s="131">
        <v>17817</v>
      </c>
      <c r="B25" s="131"/>
      <c r="C25" s="131"/>
      <c r="D25" s="14" t="s">
        <v>77</v>
      </c>
      <c r="E25" s="132">
        <f t="shared" si="14"/>
        <v>1</v>
      </c>
      <c r="F25" s="133">
        <f>'[2]IA Elec - actuals 186358'!F25+'[2]IA Elec - actuals - 186355'!F25</f>
        <v>1371859.9125254289</v>
      </c>
      <c r="G25" s="134">
        <f>'[2]IA Elec - actuals 186358'!G25+'[2]IA Elec - actuals - 186355'!G25</f>
        <v>1583726.798029759</v>
      </c>
      <c r="H25" s="135">
        <f t="shared" ref="H25:H34" si="15">IF(G25&lt;&gt;0,F25/G25,0)</f>
        <v>0.8662225796975187</v>
      </c>
      <c r="I25" s="134">
        <f>'[2]IA Elec - actuals 186358'!I25+'[2]IA Elec - actuals - 186355'!I25</f>
        <v>4408275.6100000003</v>
      </c>
      <c r="J25" s="161">
        <f>'[2]IA Elec - actuals 186358'!J25+'[2]IA Elec - actuals - 186355'!J25</f>
        <v>7980958.7999999998</v>
      </c>
      <c r="K25" s="135">
        <f t="shared" ref="K25:K34" si="16">IF(J25&lt;&gt;0,I25/J25,0)</f>
        <v>0.55234912501991618</v>
      </c>
      <c r="L25" s="136">
        <f t="shared" ref="L25:M34" si="17">F25+I25</f>
        <v>5780135.5225254297</v>
      </c>
      <c r="M25" s="166">
        <f t="shared" si="17"/>
        <v>9564685.5980297588</v>
      </c>
      <c r="N25" s="137">
        <f t="shared" ref="N25:N34" si="18">IF(M25&lt;&gt;0,L25/M25,0)</f>
        <v>0.604320493683147</v>
      </c>
      <c r="O25" s="138">
        <f>'[2]IA Elec - actuals 186358'!O25+'[2]IA Elec - actuals - 186355'!O25</f>
        <v>18476695.814100001</v>
      </c>
      <c r="P25" s="160">
        <f>'[2]IA Elec - actuals 186358'!P25+'[2]IA Elec - actuals - 186355'!P25</f>
        <v>62907760</v>
      </c>
      <c r="Q25" s="135">
        <f t="shared" ref="Q25:Q34" si="19">IF(P25&lt;&gt;0,O25/P25,0)</f>
        <v>0.2937109160157666</v>
      </c>
      <c r="R25" s="140">
        <f>'[2]IA Elec - actuals 186358'!R25+'[2]IA Elec - actuals - 186355'!R25</f>
        <v>2867.9380999999998</v>
      </c>
      <c r="S25" s="160">
        <f>'[2]IA Elec - actuals 186358'!S25+'[2]IA Elec - actuals - 186355'!S25</f>
        <v>12317.560998987527</v>
      </c>
      <c r="T25" s="137">
        <f t="shared" ref="T25:T34" si="20">IF(S25&lt;&gt;0,R25/S25,0)</f>
        <v>0.2328332776460971</v>
      </c>
    </row>
    <row r="26" spans="1:20" ht="14.25" x14ac:dyDescent="0.45">
      <c r="A26" s="131">
        <v>17861</v>
      </c>
      <c r="B26" s="131"/>
      <c r="C26" s="131"/>
      <c r="D26" s="14" t="s">
        <v>21</v>
      </c>
      <c r="E26" s="132">
        <f t="shared" si="14"/>
        <v>1</v>
      </c>
      <c r="F26" s="133">
        <f>'[2]IA Elec - actuals 186358'!F26+'[2]IA Elec - actuals - 186355'!F26</f>
        <v>0</v>
      </c>
      <c r="G26" s="134">
        <f>'[2]IA Elec - actuals 186358'!G26+'[2]IA Elec - actuals - 186355'!G26</f>
        <v>0</v>
      </c>
      <c r="H26" s="135">
        <f t="shared" si="15"/>
        <v>0</v>
      </c>
      <c r="I26" s="134">
        <f>'[2]IA Elec - actuals 186358'!I26+'[2]IA Elec - actuals - 186355'!I26</f>
        <v>0</v>
      </c>
      <c r="J26" s="134">
        <f>'[2]IA Elec - actuals 186358'!J26+'[2]IA Elec - actuals - 186355'!J26</f>
        <v>0</v>
      </c>
      <c r="K26" s="135">
        <f t="shared" si="16"/>
        <v>0</v>
      </c>
      <c r="L26" s="136">
        <f t="shared" si="17"/>
        <v>0</v>
      </c>
      <c r="M26" s="166">
        <f t="shared" si="17"/>
        <v>0</v>
      </c>
      <c r="N26" s="137">
        <f t="shared" si="18"/>
        <v>0</v>
      </c>
      <c r="O26" s="138">
        <f>'[2]IA Elec - actuals 186358'!O26+'[2]IA Elec - actuals - 186355'!O26</f>
        <v>0</v>
      </c>
      <c r="P26" s="139">
        <f>'[2]IA Elec - actuals 186358'!P26+'[2]IA Elec - actuals - 186355'!P26</f>
        <v>0</v>
      </c>
      <c r="Q26" s="135">
        <f t="shared" si="19"/>
        <v>0</v>
      </c>
      <c r="R26" s="140">
        <f>'[2]IA Elec - actuals 186358'!R26+'[2]IA Elec - actuals - 186355'!R26</f>
        <v>0</v>
      </c>
      <c r="S26" s="139">
        <f>'[2]IA Elec - actuals 186358'!S26+'[2]IA Elec - actuals - 186355'!S26</f>
        <v>0</v>
      </c>
      <c r="T26" s="137">
        <f t="shared" si="20"/>
        <v>0</v>
      </c>
    </row>
    <row r="27" spans="1:20" ht="14.25" x14ac:dyDescent="0.45">
      <c r="A27" s="131">
        <v>17821</v>
      </c>
      <c r="B27" s="131"/>
      <c r="C27" s="131"/>
      <c r="D27" s="14" t="s">
        <v>22</v>
      </c>
      <c r="E27" s="132">
        <f t="shared" si="14"/>
        <v>1</v>
      </c>
      <c r="F27" s="133">
        <f>'[2]IA Elec - actuals 186358'!F27+'[2]IA Elec - actuals - 186355'!F27</f>
        <v>0</v>
      </c>
      <c r="G27" s="134">
        <f>'[2]IA Elec - actuals 186358'!G27+'[2]IA Elec - actuals - 186355'!G27</f>
        <v>0</v>
      </c>
      <c r="H27" s="135">
        <f t="shared" si="15"/>
        <v>0</v>
      </c>
      <c r="I27" s="134">
        <f>'[2]IA Elec - actuals 186358'!I27+'[2]IA Elec - actuals - 186355'!I27</f>
        <v>0</v>
      </c>
      <c r="J27" s="134">
        <f>'[2]IA Elec - actuals 186358'!J27+'[2]IA Elec - actuals - 186355'!J27</f>
        <v>0</v>
      </c>
      <c r="K27" s="135">
        <f t="shared" si="16"/>
        <v>0</v>
      </c>
      <c r="L27" s="136">
        <f>F27+I27</f>
        <v>0</v>
      </c>
      <c r="M27" s="166">
        <f>G27+J27</f>
        <v>0</v>
      </c>
      <c r="N27" s="137">
        <f t="shared" si="18"/>
        <v>0</v>
      </c>
      <c r="O27" s="214">
        <f>'[2]IA Elec - actuals 186358'!O27+'[2]IA Elec - actuals - 186355'!O27</f>
        <v>0</v>
      </c>
      <c r="P27" s="139">
        <f>'[2]IA Elec - actuals 186358'!P27+'[2]IA Elec - actuals - 186355'!P27</f>
        <v>0</v>
      </c>
      <c r="Q27" s="135">
        <f t="shared" si="19"/>
        <v>0</v>
      </c>
      <c r="R27" s="140">
        <f>'[2]IA Elec - actuals 186358'!R27+'[2]IA Elec - actuals - 186355'!R27</f>
        <v>0</v>
      </c>
      <c r="S27" s="139">
        <f>'[2]IA Elec - actuals 186358'!S27+'[2]IA Elec - actuals - 186355'!S27</f>
        <v>0</v>
      </c>
      <c r="T27" s="137">
        <f t="shared" si="20"/>
        <v>0</v>
      </c>
    </row>
    <row r="28" spans="1:20" ht="14.25" x14ac:dyDescent="0.45">
      <c r="A28" s="131">
        <v>17804</v>
      </c>
      <c r="B28" s="131"/>
      <c r="C28" s="131"/>
      <c r="D28" s="14" t="s">
        <v>47</v>
      </c>
      <c r="E28" s="132">
        <f t="shared" si="14"/>
        <v>1</v>
      </c>
      <c r="F28" s="133">
        <f>'[2]IA Elec - actuals 186358'!F28+'[2]IA Elec - actuals - 186355'!F28</f>
        <v>906577.83008002606</v>
      </c>
      <c r="G28" s="134">
        <f>'[2]IA Elec - actuals 186358'!G28+'[2]IA Elec - actuals - 186355'!G28</f>
        <v>855832</v>
      </c>
      <c r="H28" s="135">
        <f t="shared" si="15"/>
        <v>1.0592941489451506</v>
      </c>
      <c r="I28" s="134">
        <f>'[2]IA Elec - actuals 186358'!I28+'[2]IA Elec - actuals - 186355'!I28</f>
        <v>4460468.53</v>
      </c>
      <c r="J28" s="134">
        <f>'[2]IA Elec - actuals 186358'!J28+'[2]IA Elec - actuals - 186355'!J28</f>
        <v>5694118.0499999998</v>
      </c>
      <c r="K28" s="135">
        <f>IF(J28&lt;&gt;0,I28/J28,0)</f>
        <v>0.78334669053796668</v>
      </c>
      <c r="L28" s="136">
        <f t="shared" si="17"/>
        <v>5367046.3600800261</v>
      </c>
      <c r="M28" s="166">
        <f t="shared" si="17"/>
        <v>6549950.0499999998</v>
      </c>
      <c r="N28" s="137">
        <f t="shared" si="18"/>
        <v>0.81940263957891191</v>
      </c>
      <c r="O28" s="138">
        <f>'[2]IA Elec - actuals 186358'!O28+'[2]IA Elec - actuals - 186355'!O28</f>
        <v>42969397</v>
      </c>
      <c r="P28" s="139">
        <f>'[2]IA Elec - actuals 186358'!P28+'[2]IA Elec - actuals - 186355'!P28</f>
        <v>34408092</v>
      </c>
      <c r="Q28" s="135">
        <f>IF(P28&lt;&gt;0,O28/P28,0)</f>
        <v>1.2488166155798468</v>
      </c>
      <c r="R28" s="140">
        <f>'[2]IA Elec - actuals 186358'!R28+'[2]IA Elec - actuals - 186355'!R28</f>
        <v>17956</v>
      </c>
      <c r="S28" s="139">
        <f>'[2]IA Elec - actuals 186358'!S28+'[2]IA Elec - actuals - 186355'!S28</f>
        <v>7369.3515639055222</v>
      </c>
      <c r="T28" s="137">
        <f t="shared" si="20"/>
        <v>2.4365780142647844</v>
      </c>
    </row>
    <row r="29" spans="1:20" ht="14.25" x14ac:dyDescent="0.45">
      <c r="A29" s="131">
        <v>17856</v>
      </c>
      <c r="B29" s="131"/>
      <c r="C29" s="131"/>
      <c r="D29" s="14" t="s">
        <v>42</v>
      </c>
      <c r="E29" s="132">
        <f t="shared" si="14"/>
        <v>1</v>
      </c>
      <c r="F29" s="133">
        <f>'[2]IA Elec - actuals 186358'!F29+'[2]IA Elec - actuals - 186355'!F29</f>
        <v>0</v>
      </c>
      <c r="G29" s="134">
        <f>'[2]IA Elec - actuals 186358'!G29+'[2]IA Elec - actuals - 186355'!G29</f>
        <v>0</v>
      </c>
      <c r="H29" s="135">
        <f t="shared" si="15"/>
        <v>0</v>
      </c>
      <c r="I29" s="134">
        <f>'[2]IA Elec - actuals 186358'!I29+'[2]IA Elec - actuals - 186355'!I29</f>
        <v>0</v>
      </c>
      <c r="J29" s="134">
        <f>'[2]IA Elec - actuals 186358'!J29+'[2]IA Elec - actuals - 186355'!J29</f>
        <v>0</v>
      </c>
      <c r="K29" s="135">
        <f t="shared" si="16"/>
        <v>0</v>
      </c>
      <c r="L29" s="136">
        <f>F29+I29</f>
        <v>0</v>
      </c>
      <c r="M29" s="166">
        <f>G29+J29</f>
        <v>0</v>
      </c>
      <c r="N29" s="137">
        <f t="shared" si="18"/>
        <v>0</v>
      </c>
      <c r="O29" s="138">
        <f>'[2]IA Elec - actuals 186358'!O29+'[2]IA Elec - actuals - 186355'!O29</f>
        <v>0</v>
      </c>
      <c r="P29" s="139">
        <f>'[2]IA Elec - actuals 186358'!P29+'[2]IA Elec - actuals - 186355'!P29</f>
        <v>0</v>
      </c>
      <c r="Q29" s="135">
        <f t="shared" si="19"/>
        <v>0</v>
      </c>
      <c r="R29" s="140">
        <f>'[2]IA Elec - actuals 186358'!R29+'[2]IA Elec - actuals - 186355'!R29</f>
        <v>0</v>
      </c>
      <c r="S29" s="139">
        <f>'[2]IA Elec - actuals 186358'!S29+'[2]IA Elec - actuals - 186355'!S29</f>
        <v>0</v>
      </c>
      <c r="T29" s="137">
        <f t="shared" si="20"/>
        <v>0</v>
      </c>
    </row>
    <row r="30" spans="1:20" s="15" customFormat="1" ht="14.25" x14ac:dyDescent="0.45">
      <c r="A30" s="131">
        <v>17813</v>
      </c>
      <c r="B30" s="131">
        <v>186355</v>
      </c>
      <c r="C30" s="131"/>
      <c r="D30" s="14" t="s">
        <v>97</v>
      </c>
      <c r="E30" s="132">
        <f t="shared" si="14"/>
        <v>1</v>
      </c>
      <c r="F30" s="133">
        <f>'[2]IA Elec - actuals 186358'!F30</f>
        <v>272056.5037658877</v>
      </c>
      <c r="G30" s="134">
        <f>'[2]IA Elec - actuals 186358'!G30</f>
        <v>165689.66656355941</v>
      </c>
      <c r="H30" s="135">
        <f t="shared" si="15"/>
        <v>1.6419642178561897</v>
      </c>
      <c r="I30" s="134">
        <f>'[2]IA Elec - actuals 186358'!I30</f>
        <v>271809.78999999998</v>
      </c>
      <c r="J30" s="134">
        <f>'[2]IA Elec - actuals 186358'!J30</f>
        <v>547365.26730922831</v>
      </c>
      <c r="K30" s="135">
        <f t="shared" si="16"/>
        <v>0.49657843899409104</v>
      </c>
      <c r="L30" s="136">
        <f t="shared" ref="L30:M31" si="21">F30+I30</f>
        <v>543866.29376588762</v>
      </c>
      <c r="M30" s="166">
        <f t="shared" si="21"/>
        <v>713054.93387278775</v>
      </c>
      <c r="N30" s="137">
        <f t="shared" si="18"/>
        <v>0.76272706060949269</v>
      </c>
      <c r="O30" s="138">
        <f>'[2]IA Elec - actuals 186358'!O30</f>
        <v>543882.66489999997</v>
      </c>
      <c r="P30" s="139">
        <f>'[2]IA Elec - actuals 186358'!P30</f>
        <v>2521099.6000000006</v>
      </c>
      <c r="Q30" s="135">
        <f t="shared" si="19"/>
        <v>0.21573231969891227</v>
      </c>
      <c r="R30" s="140">
        <f>'[2]IA Elec - actuals 186358'!R30</f>
        <v>93.291899999999998</v>
      </c>
      <c r="S30" s="139">
        <f>'[2]IA Elec - actuals 186358'!S30</f>
        <v>553.30970880307336</v>
      </c>
      <c r="T30" s="137">
        <f t="shared" si="20"/>
        <v>0.16860701794264596</v>
      </c>
    </row>
    <row r="31" spans="1:20" ht="14.25" x14ac:dyDescent="0.45">
      <c r="A31" s="131">
        <v>17813</v>
      </c>
      <c r="B31" s="131">
        <v>186358</v>
      </c>
      <c r="C31" s="131"/>
      <c r="D31" s="14" t="s">
        <v>43</v>
      </c>
      <c r="E31" s="132">
        <f t="shared" si="14"/>
        <v>1</v>
      </c>
      <c r="F31" s="133">
        <f>+'[2]IA Elec - actuals - 186355'!F30</f>
        <v>0</v>
      </c>
      <c r="G31" s="134">
        <f>+'[2]IA Elec - actuals - 186355'!G30</f>
        <v>0</v>
      </c>
      <c r="H31" s="135">
        <f t="shared" si="15"/>
        <v>0</v>
      </c>
      <c r="I31" s="134">
        <f>+'[2]IA Elec - actuals - 186355'!I30</f>
        <v>0</v>
      </c>
      <c r="J31" s="134">
        <f>+'[2]IA Elec - actuals - 186355'!J30</f>
        <v>0</v>
      </c>
      <c r="K31" s="135">
        <f t="shared" si="16"/>
        <v>0</v>
      </c>
      <c r="L31" s="136">
        <f t="shared" si="21"/>
        <v>0</v>
      </c>
      <c r="M31" s="166">
        <f t="shared" si="21"/>
        <v>0</v>
      </c>
      <c r="N31" s="137">
        <f t="shared" si="18"/>
        <v>0</v>
      </c>
      <c r="O31" s="138">
        <f>+'[2]IA Elec - actuals - 186355'!O30</f>
        <v>0</v>
      </c>
      <c r="P31" s="139">
        <f>+'[2]IA Elec - actuals - 186355'!P30</f>
        <v>0</v>
      </c>
      <c r="Q31" s="135">
        <f t="shared" si="19"/>
        <v>0</v>
      </c>
      <c r="R31" s="140">
        <f>+'[2]IA Elec - actuals - 186355'!R30</f>
        <v>0</v>
      </c>
      <c r="S31" s="139">
        <f>+'[2]IA Elec - actuals - 186355'!S30</f>
        <v>0</v>
      </c>
      <c r="T31" s="137">
        <f t="shared" si="20"/>
        <v>0</v>
      </c>
    </row>
    <row r="32" spans="1:20" ht="14.25" x14ac:dyDescent="0.45">
      <c r="A32" s="131">
        <v>17854</v>
      </c>
      <c r="B32" s="131"/>
      <c r="C32" s="131"/>
      <c r="D32" s="14" t="s">
        <v>95</v>
      </c>
      <c r="E32" s="132">
        <f t="shared" si="14"/>
        <v>1</v>
      </c>
      <c r="F32" s="133">
        <f>'[2]IA Elec - actuals 186358'!F31+'[2]IA Elec - actuals - 186355'!F31</f>
        <v>0</v>
      </c>
      <c r="G32" s="134">
        <f>'[2]IA Elec - actuals 186358'!G31+'[2]IA Elec - actuals - 186355'!G31</f>
        <v>0</v>
      </c>
      <c r="H32" s="135">
        <f t="shared" si="15"/>
        <v>0</v>
      </c>
      <c r="I32" s="134">
        <f>'[2]IA Elec - actuals 186358'!I31+'[2]IA Elec - actuals - 186355'!I31</f>
        <v>0</v>
      </c>
      <c r="J32" s="134">
        <f>'[2]IA Elec - actuals 186358'!J31+'[2]IA Elec - actuals - 186355'!J31</f>
        <v>0</v>
      </c>
      <c r="K32" s="135">
        <f t="shared" si="16"/>
        <v>0</v>
      </c>
      <c r="L32" s="136">
        <f t="shared" si="17"/>
        <v>0</v>
      </c>
      <c r="M32" s="166">
        <f t="shared" si="17"/>
        <v>0</v>
      </c>
      <c r="N32" s="137">
        <f t="shared" si="18"/>
        <v>0</v>
      </c>
      <c r="O32" s="138">
        <f>'[2]IA Elec - actuals 186358'!O31+'[2]IA Elec - actuals - 186355'!O31</f>
        <v>0</v>
      </c>
      <c r="P32" s="139">
        <f>'[2]IA Elec - actuals 186358'!P31+'[2]IA Elec - actuals - 186355'!P31</f>
        <v>0</v>
      </c>
      <c r="Q32" s="135">
        <f t="shared" si="19"/>
        <v>0</v>
      </c>
      <c r="R32" s="140">
        <f>'[2]IA Elec - actuals 186358'!R31+'[2]IA Elec - actuals - 186355'!R31</f>
        <v>0</v>
      </c>
      <c r="S32" s="139">
        <f>'[2]IA Elec - actuals 186358'!S31+'[2]IA Elec - actuals - 186355'!S31</f>
        <v>0</v>
      </c>
      <c r="T32" s="137">
        <f t="shared" si="20"/>
        <v>0</v>
      </c>
    </row>
    <row r="33" spans="1:20" ht="14.25" x14ac:dyDescent="0.45">
      <c r="A33" s="131">
        <v>17852</v>
      </c>
      <c r="B33" s="131"/>
      <c r="C33" s="131"/>
      <c r="D33" s="14" t="s">
        <v>96</v>
      </c>
      <c r="E33" s="132">
        <f t="shared" si="14"/>
        <v>1</v>
      </c>
      <c r="F33" s="133">
        <f>'[2]IA Elec - actuals 186358'!F32+'[2]IA Elec - actuals - 186355'!F32</f>
        <v>0</v>
      </c>
      <c r="G33" s="134">
        <f>'[2]IA Elec - actuals 186358'!G32+'[2]IA Elec - actuals - 186355'!G32</f>
        <v>0</v>
      </c>
      <c r="H33" s="135">
        <f t="shared" si="15"/>
        <v>0</v>
      </c>
      <c r="I33" s="134">
        <f>'[2]IA Elec - actuals 186358'!I32+'[2]IA Elec - actuals - 186355'!I32</f>
        <v>0</v>
      </c>
      <c r="J33" s="134">
        <f>'[2]IA Elec - actuals 186358'!J32+'[2]IA Elec - actuals - 186355'!J32</f>
        <v>0</v>
      </c>
      <c r="K33" s="135">
        <f t="shared" si="16"/>
        <v>0</v>
      </c>
      <c r="L33" s="136">
        <f t="shared" si="17"/>
        <v>0</v>
      </c>
      <c r="M33" s="166">
        <f t="shared" si="17"/>
        <v>0</v>
      </c>
      <c r="N33" s="137">
        <f t="shared" si="18"/>
        <v>0</v>
      </c>
      <c r="O33" s="138">
        <f>'[2]IA Elec - actuals 186358'!O32+'[2]IA Elec - actuals - 186355'!O32</f>
        <v>0</v>
      </c>
      <c r="P33" s="139">
        <f>'[2]IA Elec - actuals 186358'!P32+'[2]IA Elec - actuals - 186355'!P32</f>
        <v>0</v>
      </c>
      <c r="Q33" s="135">
        <f t="shared" si="19"/>
        <v>0</v>
      </c>
      <c r="R33" s="140">
        <f>'[2]IA Elec - actuals 186358'!R32+'[2]IA Elec - actuals - 186355'!R32</f>
        <v>0</v>
      </c>
      <c r="S33" s="139">
        <f>'[2]IA Elec - actuals 186358'!S32+'[2]IA Elec - actuals - 186355'!S32</f>
        <v>0</v>
      </c>
      <c r="T33" s="137">
        <f t="shared" si="20"/>
        <v>0</v>
      </c>
    </row>
    <row r="34" spans="1:20" ht="14.65" thickBot="1" x14ac:dyDescent="0.5">
      <c r="A34" s="131">
        <v>17848</v>
      </c>
      <c r="B34" s="131"/>
      <c r="C34" s="131"/>
      <c r="D34" s="14" t="s">
        <v>44</v>
      </c>
      <c r="E34" s="132">
        <f t="shared" si="14"/>
        <v>1</v>
      </c>
      <c r="F34" s="141">
        <f>'[2]IA Elec - actuals 186358'!F33+'[2]IA Elec - actuals - 186355'!F33</f>
        <v>256458.57855900328</v>
      </c>
      <c r="G34" s="162">
        <f>'[2]IA Elec - actuals 186358'!G33+'[2]IA Elec - actuals - 186355'!G33</f>
        <v>420000</v>
      </c>
      <c r="H34" s="135">
        <f t="shared" si="15"/>
        <v>0.61061566323572214</v>
      </c>
      <c r="I34" s="142">
        <f>'[2]IA Elec - actuals 186358'!I33+'[2]IA Elec - actuals - 186355'!I33</f>
        <v>0</v>
      </c>
      <c r="J34" s="162">
        <f>'[2]IA Elec - actuals 186358'!J33+'[2]IA Elec - actuals - 186355'!J33</f>
        <v>0</v>
      </c>
      <c r="K34" s="135">
        <f t="shared" si="16"/>
        <v>0</v>
      </c>
      <c r="L34" s="143">
        <f t="shared" si="17"/>
        <v>256458.57855900328</v>
      </c>
      <c r="M34" s="213">
        <f t="shared" si="17"/>
        <v>420000</v>
      </c>
      <c r="N34" s="137">
        <f t="shared" si="18"/>
        <v>0.61061566323572214</v>
      </c>
      <c r="O34" s="144">
        <f>'[2]IA Elec - actuals 186358'!O33+'[2]IA Elec - actuals - 186355'!O33</f>
        <v>0</v>
      </c>
      <c r="P34" s="145">
        <f>'[2]IA Elec - actuals 186358'!P33+'[2]IA Elec - actuals - 186355'!P33</f>
        <v>0</v>
      </c>
      <c r="Q34" s="135">
        <f t="shared" si="19"/>
        <v>0</v>
      </c>
      <c r="R34" s="146">
        <f>'[2]IA Elec - actuals 186358'!R33+'[2]IA Elec - actuals - 186355'!R33</f>
        <v>0</v>
      </c>
      <c r="S34" s="145">
        <f>'[2]IA Elec - actuals 186358'!S33+'[2]IA Elec - actuals - 186355'!S33</f>
        <v>0</v>
      </c>
      <c r="T34" s="137">
        <f t="shared" si="20"/>
        <v>0</v>
      </c>
    </row>
    <row r="35" spans="1:20" ht="15" thickTop="1" thickBot="1" x14ac:dyDescent="0.5">
      <c r="A35" s="147"/>
      <c r="B35" s="147"/>
      <c r="C35" s="147"/>
      <c r="D35" s="16" t="s">
        <v>48</v>
      </c>
      <c r="E35" s="163"/>
      <c r="F35" s="149">
        <f>SUM(F24:F34)</f>
        <v>3532419.800468354</v>
      </c>
      <c r="G35" s="150">
        <f>SUM(G24:G34)</f>
        <v>3817393.6163969832</v>
      </c>
      <c r="H35" s="151">
        <f t="shared" si="9"/>
        <v>0.92534859001582359</v>
      </c>
      <c r="I35" s="150">
        <f>SUM(I24:I34)</f>
        <v>11062900.199999999</v>
      </c>
      <c r="J35" s="150">
        <f>SUM(J24:J34)</f>
        <v>19083190.144037705</v>
      </c>
      <c r="K35" s="151">
        <f t="shared" si="10"/>
        <v>0.57971964417366872</v>
      </c>
      <c r="L35" s="152">
        <f>SUM(L24:L34)</f>
        <v>14595320.000468355</v>
      </c>
      <c r="M35" s="150">
        <f>SUM(M24:M34)</f>
        <v>22900583.760434687</v>
      </c>
      <c r="N35" s="153">
        <f t="shared" si="11"/>
        <v>0.63733397162061312</v>
      </c>
      <c r="O35" s="154">
        <f>SUM(O24:O34)</f>
        <v>76895093.284800008</v>
      </c>
      <c r="P35" s="155">
        <f>SUM(P24:P34)</f>
        <v>127181726.59999999</v>
      </c>
      <c r="Q35" s="156">
        <f>O35/P35</f>
        <v>0.60460803088987169</v>
      </c>
      <c r="R35" s="155">
        <f>SUM(R24:R34)</f>
        <v>23194.0249</v>
      </c>
      <c r="S35" s="155">
        <f>SUM(S24:S34)</f>
        <v>29994.333023609044</v>
      </c>
      <c r="T35" s="157">
        <f>R35/S35</f>
        <v>0.77328023536124613</v>
      </c>
    </row>
    <row r="36" spans="1:20" ht="14.65" thickTop="1" x14ac:dyDescent="0.45">
      <c r="A36" s="147"/>
      <c r="B36" s="147"/>
      <c r="C36" s="147"/>
      <c r="D36" s="16"/>
      <c r="E36" s="163"/>
      <c r="F36" s="149"/>
      <c r="G36" s="150"/>
      <c r="H36" s="151"/>
      <c r="I36" s="150"/>
      <c r="J36" s="150"/>
      <c r="K36" s="151"/>
      <c r="L36" s="152"/>
      <c r="M36" s="150"/>
      <c r="N36" s="157"/>
      <c r="O36" s="154"/>
      <c r="P36" s="155"/>
      <c r="Q36" s="151"/>
      <c r="R36" s="155"/>
      <c r="S36" s="155"/>
      <c r="T36" s="157"/>
    </row>
    <row r="37" spans="1:20" ht="14.25" x14ac:dyDescent="0.45">
      <c r="A37" s="147"/>
      <c r="B37" s="147"/>
      <c r="C37" s="147"/>
      <c r="D37" s="17" t="s">
        <v>72</v>
      </c>
      <c r="E37" s="163"/>
      <c r="F37" s="149"/>
      <c r="G37" s="150"/>
      <c r="H37" s="151"/>
      <c r="I37" s="150"/>
      <c r="J37" s="150"/>
      <c r="K37" s="151"/>
      <c r="L37" s="152"/>
      <c r="M37" s="150"/>
      <c r="N37" s="157"/>
      <c r="O37" s="154"/>
      <c r="P37" s="155"/>
      <c r="Q37" s="151"/>
      <c r="R37" s="155"/>
      <c r="S37" s="155"/>
      <c r="T37" s="157"/>
    </row>
    <row r="38" spans="1:20" ht="14.25" x14ac:dyDescent="0.45">
      <c r="A38" s="131">
        <v>17838</v>
      </c>
      <c r="B38" s="131"/>
      <c r="C38" s="131"/>
      <c r="D38" s="19" t="s">
        <v>91</v>
      </c>
      <c r="E38" s="132">
        <f t="shared" ref="E38:E39" si="22">MONTH($A$7)/12</f>
        <v>1</v>
      </c>
      <c r="F38" s="133">
        <f>'[2]IA Elec - actuals 186358'!F37+'[2]IA Elec - actuals - 186355'!F37</f>
        <v>35304.620000000003</v>
      </c>
      <c r="G38" s="134">
        <f>'[2]IA Elec - actuals 186358'!G37+'[2]IA Elec - actuals - 186355'!G37</f>
        <v>105000</v>
      </c>
      <c r="H38" s="135">
        <f t="shared" ref="H38:H39" si="23">IF(G38&lt;&gt;0,F38/G38,0)</f>
        <v>0.33623447619047619</v>
      </c>
      <c r="I38" s="134">
        <f>'[2]IA Elec - actuals 186358'!I37+'[2]IA Elec - actuals - 186355'!I37</f>
        <v>76150</v>
      </c>
      <c r="J38" s="134">
        <f>'[2]IA Elec - actuals 186358'!J37+'[2]IA Elec - actuals - 186355'!J37</f>
        <v>0</v>
      </c>
      <c r="K38" s="135">
        <f t="shared" ref="K38:K40" si="24">IF(J38&lt;&gt;0,I38/J38,0)</f>
        <v>0</v>
      </c>
      <c r="L38" s="136">
        <f t="shared" ref="L38:L39" si="25">F38+I38</f>
        <v>111454.62</v>
      </c>
      <c r="M38" s="186">
        <f>G38+J38</f>
        <v>105000</v>
      </c>
      <c r="N38" s="137">
        <f t="shared" ref="N38:N39" si="26">IF(M38&lt;&gt;0,L38/M38,0)</f>
        <v>1.0614725714285713</v>
      </c>
      <c r="O38" s="138">
        <f>'[2]IA Elec - actuals 186358'!O37+'[2]IA Elec - actuals - 186355'!O37</f>
        <v>0</v>
      </c>
      <c r="P38" s="160">
        <f>'[2]IA Elec - actuals 186358'!P37+'[2]IA Elec - actuals - 186355'!P37</f>
        <v>0</v>
      </c>
      <c r="Q38" s="135">
        <f t="shared" ref="Q38:Q40" si="27">IF(P38&lt;&gt;0,O38/P38,0)</f>
        <v>0</v>
      </c>
      <c r="R38" s="140">
        <f>'[2]IA Elec - actuals 186358'!R37+'[2]IA Elec - actuals - 186355'!R37</f>
        <v>0</v>
      </c>
      <c r="S38" s="160">
        <f>'[2]IA Elec - actuals 186358'!S37+'[2]IA Elec - actuals - 186355'!S37</f>
        <v>0</v>
      </c>
      <c r="T38" s="137">
        <f t="shared" ref="T38:T40" si="28">IF(S38&lt;&gt;0,R38/S38,0)</f>
        <v>0</v>
      </c>
    </row>
    <row r="39" spans="1:20" ht="14.25" customHeight="1" thickBot="1" x14ac:dyDescent="0.5">
      <c r="A39" s="131">
        <v>17842</v>
      </c>
      <c r="B39" s="131"/>
      <c r="C39" s="131"/>
      <c r="D39" s="19" t="s">
        <v>98</v>
      </c>
      <c r="E39" s="132">
        <f t="shared" si="22"/>
        <v>1</v>
      </c>
      <c r="F39" s="141">
        <f>'[2]IA Elec - actuals 186358'!F38+'[2]IA Elec - actuals - 186355'!F38</f>
        <v>1798181.55</v>
      </c>
      <c r="G39" s="162">
        <f>'[2]IA Elec - actuals 186358'!G38+'[2]IA Elec - actuals - 186355'!G38</f>
        <v>1500000</v>
      </c>
      <c r="H39" s="135">
        <f t="shared" si="23"/>
        <v>1.1987877</v>
      </c>
      <c r="I39" s="142">
        <f>'[2]IA Elec - actuals 186358'!I38+'[2]IA Elec - actuals - 186355'!I38</f>
        <v>0</v>
      </c>
      <c r="J39" s="215">
        <f>'[2]IA Elec - actuals 186358'!J38+'[2]IA Elec - actuals - 186355'!J38</f>
        <v>0</v>
      </c>
      <c r="K39" s="135">
        <f t="shared" si="24"/>
        <v>0</v>
      </c>
      <c r="L39" s="143">
        <f t="shared" si="25"/>
        <v>1798181.55</v>
      </c>
      <c r="M39" s="215">
        <f>G39+J39</f>
        <v>1500000</v>
      </c>
      <c r="N39" s="137">
        <f t="shared" si="26"/>
        <v>1.1987877</v>
      </c>
      <c r="O39" s="144">
        <f>'[2]IA Elec - actuals 186358'!O38+'[2]IA Elec - actuals - 186355'!O38</f>
        <v>0</v>
      </c>
      <c r="P39" s="145">
        <f>'[2]IA Elec - actuals 186358'!P38+'[2]IA Elec - actuals - 186355'!P38</f>
        <v>0</v>
      </c>
      <c r="Q39" s="135">
        <f t="shared" si="27"/>
        <v>0</v>
      </c>
      <c r="R39" s="146">
        <f>'[2]IA Elec - actuals 186358'!R38+'[2]IA Elec - actuals - 186355'!R38</f>
        <v>0</v>
      </c>
      <c r="S39" s="145">
        <f>'[2]IA Elec - actuals 186358'!S38+'[2]IA Elec - actuals - 186355'!S38</f>
        <v>0</v>
      </c>
      <c r="T39" s="137">
        <f t="shared" si="28"/>
        <v>0</v>
      </c>
    </row>
    <row r="40" spans="1:20" ht="15" thickTop="1" thickBot="1" x14ac:dyDescent="0.5">
      <c r="A40" s="147"/>
      <c r="B40" s="147"/>
      <c r="C40" s="147"/>
      <c r="D40" s="16" t="s">
        <v>99</v>
      </c>
      <c r="E40" s="163"/>
      <c r="F40" s="216">
        <f>SUM(F38:F39)</f>
        <v>1833486.1700000002</v>
      </c>
      <c r="G40" s="150">
        <f>SUM(G38:G39)</f>
        <v>1605000</v>
      </c>
      <c r="H40" s="217">
        <f t="shared" ref="H40" si="29">F40/G40</f>
        <v>1.1423589844236761</v>
      </c>
      <c r="I40" s="218">
        <f>SUM(I38:I39)</f>
        <v>76150</v>
      </c>
      <c r="J40" s="150">
        <f>SUM(J38:J39)</f>
        <v>0</v>
      </c>
      <c r="K40" s="151">
        <f t="shared" si="24"/>
        <v>0</v>
      </c>
      <c r="L40" s="218">
        <f>SUM(L38:L39)</f>
        <v>1909636.17</v>
      </c>
      <c r="M40" s="150">
        <f>SUM(M38:M39)</f>
        <v>1605000</v>
      </c>
      <c r="N40" s="153">
        <f t="shared" ref="N40" si="30">L40/M40</f>
        <v>1.1898044672897197</v>
      </c>
      <c r="O40" s="219">
        <f>SUM(O38:O39)</f>
        <v>0</v>
      </c>
      <c r="P40" s="220">
        <f>SUM(P38:P39)</f>
        <v>0</v>
      </c>
      <c r="Q40" s="153">
        <f t="shared" si="27"/>
        <v>0</v>
      </c>
      <c r="R40" s="221">
        <f>SUM(R38:R39)</f>
        <v>0</v>
      </c>
      <c r="S40" s="220">
        <f>SUM(S38:S39)</f>
        <v>0</v>
      </c>
      <c r="T40" s="137">
        <f t="shared" si="28"/>
        <v>0</v>
      </c>
    </row>
    <row r="41" spans="1:20" ht="14.65" thickTop="1" x14ac:dyDescent="0.45">
      <c r="A41" s="147"/>
      <c r="B41" s="147"/>
      <c r="C41" s="147"/>
      <c r="D41" s="16"/>
      <c r="E41" s="163"/>
      <c r="F41" s="149"/>
      <c r="G41" s="150"/>
      <c r="H41" s="217"/>
      <c r="I41" s="152"/>
      <c r="J41" s="150"/>
      <c r="K41" s="217"/>
      <c r="L41" s="152"/>
      <c r="M41" s="150"/>
      <c r="N41" s="157"/>
      <c r="O41" s="222"/>
      <c r="P41" s="220"/>
      <c r="Q41" s="135"/>
      <c r="R41" s="220"/>
      <c r="S41" s="220"/>
      <c r="T41" s="137"/>
    </row>
    <row r="42" spans="1:20" ht="14.25" x14ac:dyDescent="0.45">
      <c r="A42" s="147"/>
      <c r="B42" s="147"/>
      <c r="C42" s="147"/>
      <c r="D42" s="16" t="s">
        <v>104</v>
      </c>
      <c r="E42" s="163"/>
      <c r="F42" s="149"/>
      <c r="G42" s="150"/>
      <c r="H42" s="217"/>
      <c r="I42" s="152"/>
      <c r="J42" s="150"/>
      <c r="K42" s="217"/>
      <c r="L42" s="152"/>
      <c r="M42" s="150"/>
      <c r="N42" s="157"/>
      <c r="O42" s="222"/>
      <c r="P42" s="220"/>
      <c r="Q42" s="135"/>
      <c r="R42" s="220"/>
      <c r="S42" s="220"/>
      <c r="T42" s="137"/>
    </row>
    <row r="43" spans="1:20" ht="14.25" x14ac:dyDescent="0.45">
      <c r="A43" s="131">
        <v>17831</v>
      </c>
      <c r="B43" s="131"/>
      <c r="C43" s="131"/>
      <c r="D43" s="14" t="s">
        <v>87</v>
      </c>
      <c r="E43" s="132">
        <f t="shared" si="14"/>
        <v>1</v>
      </c>
      <c r="F43" s="133">
        <f>'[2]IA Elec - actuals 186358'!F42+'[2]IA Elec - actuals - 186355'!F42</f>
        <v>1729592.1300006537</v>
      </c>
      <c r="G43" s="134">
        <f>'[2]IA Elec - actuals 186358'!G42+'[2]IA Elec - actuals - 186355'!G42</f>
        <v>1904250.6533727369</v>
      </c>
      <c r="H43" s="135">
        <f t="shared" ref="H43:H44" si="31">IF(G43&lt;&gt;0,F43/G43,0)</f>
        <v>0.9082796568494097</v>
      </c>
      <c r="I43" s="134">
        <f>'[2]IA Elec - actuals 186358'!I42+'[2]IA Elec - actuals - 186355'!I42</f>
        <v>1306275.3899999999</v>
      </c>
      <c r="J43" s="134">
        <f>'[2]IA Elec - actuals 186358'!J42+'[2]IA Elec - actuals - 186355'!J42</f>
        <v>1380000</v>
      </c>
      <c r="K43" s="135">
        <f t="shared" ref="K43:K45" si="32">IF(J43&lt;&gt;0,I43/J43,0)</f>
        <v>0.94657636956521729</v>
      </c>
      <c r="L43" s="136">
        <f t="shared" ref="L43:L44" si="33">F43+I43</f>
        <v>3035867.5200006533</v>
      </c>
      <c r="M43" s="186">
        <f>G43+J43</f>
        <v>3284250.6533727366</v>
      </c>
      <c r="N43" s="137">
        <f t="shared" ref="N43:N44" si="34">IF(M43&lt;&gt;0,L43/M43,0)</f>
        <v>0.92437144433022855</v>
      </c>
      <c r="O43" s="138">
        <f>'[2]IA Elec - actuals 186358'!O42+'[2]IA Elec - actuals - 186355'!O42</f>
        <v>164889</v>
      </c>
      <c r="P43" s="160">
        <f>'[2]IA Elec - actuals 186358'!P42+'[2]IA Elec - actuals - 186355'!P42</f>
        <v>489100</v>
      </c>
      <c r="Q43" s="135">
        <f t="shared" ref="Q43:Q45" si="35">IF(P43&lt;&gt;0,O43/P43,0)</f>
        <v>0.33712737681455734</v>
      </c>
      <c r="R43" s="140">
        <f>'[2]IA Elec - actuals 186358'!R42+'[2]IA Elec - actuals - 186355'!R42</f>
        <v>45003</v>
      </c>
      <c r="S43" s="160">
        <f>'[2]IA Elec - actuals 186358'!S42+'[2]IA Elec - actuals - 186355'!S42</f>
        <v>42216.69751943725</v>
      </c>
      <c r="T43" s="137">
        <f t="shared" ref="T43:T45" si="36">IF(S43&lt;&gt;0,R43/S43,0)</f>
        <v>1.0660000105237954</v>
      </c>
    </row>
    <row r="44" spans="1:20" ht="14.65" thickBot="1" x14ac:dyDescent="0.5">
      <c r="A44" s="131">
        <v>17836</v>
      </c>
      <c r="B44" s="131"/>
      <c r="C44" s="131"/>
      <c r="D44" s="14" t="s">
        <v>70</v>
      </c>
      <c r="E44" s="132">
        <f t="shared" si="14"/>
        <v>1</v>
      </c>
      <c r="F44" s="141">
        <f>'[2]IA Elec - actuals 186358'!F43+'[2]IA Elec - actuals - 186355'!F43</f>
        <v>345092.3</v>
      </c>
      <c r="G44" s="162">
        <f>'[2]IA Elec - actuals 186358'!G43+'[2]IA Elec - actuals - 186355'!G43</f>
        <v>600000</v>
      </c>
      <c r="H44" s="135">
        <f t="shared" si="31"/>
        <v>0.57515383333333336</v>
      </c>
      <c r="I44" s="142">
        <f>'[2]IA Elec - actuals 186358'!I43+'[2]IA Elec - actuals - 186355'!I43</f>
        <v>7048830</v>
      </c>
      <c r="J44" s="215">
        <f>'[2]IA Elec - actuals 186358'!J43+'[2]IA Elec - actuals - 186355'!J43</f>
        <v>8051750</v>
      </c>
      <c r="K44" s="135">
        <f t="shared" si="32"/>
        <v>0.87544074269568728</v>
      </c>
      <c r="L44" s="143">
        <f t="shared" si="33"/>
        <v>7393922.2999999998</v>
      </c>
      <c r="M44" s="215">
        <f>G44+J44</f>
        <v>8651750</v>
      </c>
      <c r="N44" s="137">
        <f t="shared" si="34"/>
        <v>0.8546158060507989</v>
      </c>
      <c r="O44" s="144">
        <f>'[2]IA Elec - actuals 186358'!O43+'[2]IA Elec - actuals - 186355'!O43</f>
        <v>612728</v>
      </c>
      <c r="P44" s="145">
        <f>'[2]IA Elec - actuals 186358'!P43+'[2]IA Elec - actuals - 186355'!P43</f>
        <v>2770016</v>
      </c>
      <c r="Q44" s="135">
        <f t="shared" si="35"/>
        <v>0.22120016635282974</v>
      </c>
      <c r="R44" s="146">
        <f>'[2]IA Elec - actuals 186358'!R43+'[2]IA Elec - actuals - 186355'!R43</f>
        <v>267079</v>
      </c>
      <c r="S44" s="145">
        <f>'[2]IA Elec - actuals 186358'!S43+'[2]IA Elec - actuals - 186355'!S43</f>
        <v>230811.58550811585</v>
      </c>
      <c r="T44" s="137">
        <f t="shared" si="36"/>
        <v>1.1571299569388769</v>
      </c>
    </row>
    <row r="45" spans="1:20" ht="15" thickTop="1" thickBot="1" x14ac:dyDescent="0.5">
      <c r="A45" s="147"/>
      <c r="B45" s="147"/>
      <c r="C45" s="147"/>
      <c r="D45" s="16" t="s">
        <v>105</v>
      </c>
      <c r="E45" s="163"/>
      <c r="F45" s="216">
        <f>SUM(F43:F44)</f>
        <v>2074684.4300006537</v>
      </c>
      <c r="G45" s="150">
        <f>SUM(G43:G44)</f>
        <v>2504250.6533727366</v>
      </c>
      <c r="H45" s="217">
        <f t="shared" ref="H45" si="37">F45/G45</f>
        <v>0.82846516470164788</v>
      </c>
      <c r="I45" s="218">
        <f>SUM(I43:I44)</f>
        <v>8355105.3899999997</v>
      </c>
      <c r="J45" s="150">
        <f>SUM(J43:J44)</f>
        <v>9431750</v>
      </c>
      <c r="K45" s="151">
        <f t="shared" si="32"/>
        <v>0.88584890290773177</v>
      </c>
      <c r="L45" s="218">
        <f>SUM(L43:L44)</f>
        <v>10429789.820000652</v>
      </c>
      <c r="M45" s="150">
        <f>SUM(M43:M44)</f>
        <v>11936000.653372737</v>
      </c>
      <c r="N45" s="153">
        <f t="shared" ref="N45" si="38">L45/M45</f>
        <v>0.87380942100179282</v>
      </c>
      <c r="O45" s="219">
        <f>SUM(O43:O44)</f>
        <v>777617</v>
      </c>
      <c r="P45" s="220">
        <f>SUM(P43:P44)</f>
        <v>3259116</v>
      </c>
      <c r="Q45" s="153">
        <f t="shared" si="35"/>
        <v>0.23859752153651481</v>
      </c>
      <c r="R45" s="221">
        <f>SUM(R43:R44)</f>
        <v>312082</v>
      </c>
      <c r="S45" s="220">
        <f>SUM(S43:S44)</f>
        <v>273028.28302755312</v>
      </c>
      <c r="T45" s="137">
        <f t="shared" si="36"/>
        <v>1.143039089355097</v>
      </c>
    </row>
    <row r="46" spans="1:20" ht="14.65" thickTop="1" x14ac:dyDescent="0.45">
      <c r="A46" s="147"/>
      <c r="B46" s="147"/>
      <c r="C46" s="147"/>
      <c r="D46" s="19"/>
      <c r="E46" s="163"/>
      <c r="F46" s="149"/>
      <c r="G46" s="150"/>
      <c r="H46" s="151"/>
      <c r="I46" s="150"/>
      <c r="J46" s="150"/>
      <c r="K46" s="151"/>
      <c r="L46" s="152"/>
      <c r="M46" s="150"/>
      <c r="N46" s="157"/>
      <c r="O46" s="154"/>
      <c r="P46" s="155"/>
      <c r="Q46" s="151"/>
      <c r="R46" s="155"/>
      <c r="S46" s="155"/>
      <c r="T46" s="157"/>
    </row>
    <row r="47" spans="1:20" ht="14.25" x14ac:dyDescent="0.45">
      <c r="A47" s="147"/>
      <c r="B47" s="147"/>
      <c r="C47" s="147"/>
      <c r="D47" s="18" t="s">
        <v>9</v>
      </c>
      <c r="E47" s="163"/>
      <c r="F47" s="149"/>
      <c r="G47" s="150"/>
      <c r="H47" s="217"/>
      <c r="I47" s="152"/>
      <c r="J47" s="150"/>
      <c r="K47" s="217"/>
      <c r="L47" s="152"/>
      <c r="M47" s="150"/>
      <c r="N47" s="157"/>
      <c r="O47" s="222"/>
      <c r="P47" s="220"/>
      <c r="Q47" s="135"/>
      <c r="R47" s="220"/>
      <c r="S47" s="220"/>
      <c r="T47" s="137"/>
    </row>
    <row r="48" spans="1:20" ht="14.25" x14ac:dyDescent="0.45">
      <c r="A48" s="147"/>
      <c r="B48" s="147"/>
      <c r="C48" s="147"/>
      <c r="D48" s="19" t="s">
        <v>13</v>
      </c>
      <c r="E48" s="163"/>
      <c r="F48" s="133">
        <f>F21</f>
        <v>1302624.8795309919</v>
      </c>
      <c r="G48" s="134">
        <f>G21</f>
        <v>1866132.357460577</v>
      </c>
      <c r="H48" s="135">
        <f t="shared" ref="H48:H51" si="39">IF(G48&lt;&gt;0,F48/G48,0)</f>
        <v>0.69803456026216537</v>
      </c>
      <c r="I48" s="134">
        <f>I21</f>
        <v>4080825.19</v>
      </c>
      <c r="J48" s="134">
        <f>J21</f>
        <v>6007839.1915557496</v>
      </c>
      <c r="K48" s="135">
        <f t="shared" ref="K48:K51" si="40">IF(J48&lt;&gt;0,I48/J48,0)</f>
        <v>0.67925006976480951</v>
      </c>
      <c r="L48" s="134">
        <f>L21</f>
        <v>5383450.0695309918</v>
      </c>
      <c r="M48" s="134">
        <f>M21</f>
        <v>7873971.5490163248</v>
      </c>
      <c r="N48" s="137">
        <f t="shared" ref="N48:N51" si="41">IF(M48&lt;&gt;0,L48/M48,0)</f>
        <v>0.68370199663771103</v>
      </c>
      <c r="O48" s="214">
        <f>O21</f>
        <v>31705969.069499999</v>
      </c>
      <c r="P48" s="139">
        <f>P21</f>
        <v>44101404.339999996</v>
      </c>
      <c r="Q48" s="135">
        <f t="shared" ref="Q48:Q51" si="42">IF(P48&lt;&gt;0,O48/P48,0)</f>
        <v>0.71893332069570104</v>
      </c>
      <c r="R48" s="139">
        <f>R21</f>
        <v>10112.641</v>
      </c>
      <c r="S48" s="139">
        <f>S21</f>
        <v>14275.656842698912</v>
      </c>
      <c r="T48" s="137">
        <f t="shared" ref="T48:T51" si="43">IF(S48&lt;&gt;0,R48/S48,0)</f>
        <v>0.70838358692909953</v>
      </c>
    </row>
    <row r="49" spans="1:20" ht="14.25" x14ac:dyDescent="0.45">
      <c r="A49" s="147"/>
      <c r="B49" s="147"/>
      <c r="C49" s="147"/>
      <c r="D49" s="19" t="s">
        <v>14</v>
      </c>
      <c r="E49" s="163"/>
      <c r="F49" s="133">
        <f>F35</f>
        <v>3532419.800468354</v>
      </c>
      <c r="G49" s="134">
        <f>G35</f>
        <v>3817393.6163969832</v>
      </c>
      <c r="H49" s="135">
        <f t="shared" si="39"/>
        <v>0.92534859001582359</v>
      </c>
      <c r="I49" s="134">
        <f>I35</f>
        <v>11062900.199999999</v>
      </c>
      <c r="J49" s="134">
        <f>J35</f>
        <v>19083190.144037705</v>
      </c>
      <c r="K49" s="135">
        <f t="shared" si="40"/>
        <v>0.57971964417366872</v>
      </c>
      <c r="L49" s="134">
        <f>L35</f>
        <v>14595320.000468355</v>
      </c>
      <c r="M49" s="134">
        <f>M35</f>
        <v>22900583.760434687</v>
      </c>
      <c r="N49" s="137">
        <f t="shared" si="41"/>
        <v>0.63733397162061312</v>
      </c>
      <c r="O49" s="214">
        <f>O35</f>
        <v>76895093.284800008</v>
      </c>
      <c r="P49" s="139">
        <f>P35</f>
        <v>127181726.59999999</v>
      </c>
      <c r="Q49" s="135">
        <f t="shared" si="42"/>
        <v>0.60460803088987169</v>
      </c>
      <c r="R49" s="139">
        <f>R35</f>
        <v>23194.0249</v>
      </c>
      <c r="S49" s="139">
        <f>S35</f>
        <v>29994.333023609044</v>
      </c>
      <c r="T49" s="137">
        <f t="shared" si="43"/>
        <v>0.77328023536124613</v>
      </c>
    </row>
    <row r="50" spans="1:20" ht="14.25" x14ac:dyDescent="0.45">
      <c r="D50" s="167" t="s">
        <v>72</v>
      </c>
      <c r="E50" s="114"/>
      <c r="F50" s="223">
        <f>F40</f>
        <v>1833486.1700000002</v>
      </c>
      <c r="G50" s="180">
        <f>G40</f>
        <v>1605000</v>
      </c>
      <c r="H50" s="135">
        <f t="shared" si="39"/>
        <v>1.1423589844236761</v>
      </c>
      <c r="I50" s="224">
        <f>I40</f>
        <v>76150</v>
      </c>
      <c r="J50" s="180">
        <f>J40</f>
        <v>0</v>
      </c>
      <c r="K50" s="135">
        <f t="shared" si="40"/>
        <v>0</v>
      </c>
      <c r="L50" s="224">
        <f>L40</f>
        <v>1909636.17</v>
      </c>
      <c r="M50" s="180">
        <f>M40</f>
        <v>1605000</v>
      </c>
      <c r="N50" s="137">
        <f t="shared" si="41"/>
        <v>1.1898044672897197</v>
      </c>
      <c r="O50" s="225">
        <f>O40</f>
        <v>0</v>
      </c>
      <c r="P50" s="160">
        <f>P40</f>
        <v>0</v>
      </c>
      <c r="Q50" s="135">
        <f t="shared" si="42"/>
        <v>0</v>
      </c>
      <c r="R50" s="226">
        <f>R40</f>
        <v>0</v>
      </c>
      <c r="S50" s="160">
        <f>S40</f>
        <v>0</v>
      </c>
      <c r="T50" s="137">
        <f t="shared" si="43"/>
        <v>0</v>
      </c>
    </row>
    <row r="51" spans="1:20" ht="14.65" thickBot="1" x14ac:dyDescent="0.5">
      <c r="D51" s="167" t="s">
        <v>106</v>
      </c>
      <c r="E51" s="114"/>
      <c r="F51" s="223">
        <f>F45</f>
        <v>2074684.4300006537</v>
      </c>
      <c r="G51" s="180">
        <f>G45</f>
        <v>2504250.6533727366</v>
      </c>
      <c r="H51" s="135">
        <f t="shared" si="39"/>
        <v>0.82846516470164788</v>
      </c>
      <c r="I51" s="224">
        <f>I45</f>
        <v>8355105.3899999997</v>
      </c>
      <c r="J51" s="180">
        <f>J45</f>
        <v>9431750</v>
      </c>
      <c r="K51" s="135">
        <f t="shared" si="40"/>
        <v>0.88584890290773177</v>
      </c>
      <c r="L51" s="224">
        <f>L45</f>
        <v>10429789.820000652</v>
      </c>
      <c r="M51" s="180">
        <f>M45</f>
        <v>11936000.653372737</v>
      </c>
      <c r="N51" s="137">
        <f t="shared" si="41"/>
        <v>0.87380942100179282</v>
      </c>
      <c r="O51" s="225">
        <f>O45</f>
        <v>777617</v>
      </c>
      <c r="P51" s="160">
        <f>P45</f>
        <v>3259116</v>
      </c>
      <c r="Q51" s="183">
        <f t="shared" si="42"/>
        <v>0.23859752153651481</v>
      </c>
      <c r="R51" s="226">
        <f>R45</f>
        <v>312082</v>
      </c>
      <c r="S51" s="160">
        <f>S45</f>
        <v>273028.28302755312</v>
      </c>
      <c r="T51" s="137">
        <f t="shared" si="43"/>
        <v>1.143039089355097</v>
      </c>
    </row>
    <row r="52" spans="1:20" ht="15" thickTop="1" thickBot="1" x14ac:dyDescent="0.5">
      <c r="D52" s="16" t="s">
        <v>49</v>
      </c>
      <c r="E52" s="114"/>
      <c r="F52" s="168">
        <f>SUM(F48:F51)</f>
        <v>8743215.2799999993</v>
      </c>
      <c r="G52" s="169">
        <f>SUM(G48:G51)</f>
        <v>9792776.6272302978</v>
      </c>
      <c r="H52" s="151">
        <f t="shared" ref="H52" si="44">F52/G52</f>
        <v>0.89282290537375941</v>
      </c>
      <c r="I52" s="169">
        <f>SUM(I48:I51)</f>
        <v>23574980.779999997</v>
      </c>
      <c r="J52" s="169">
        <f>SUM(J48:J51)</f>
        <v>34522779.335593455</v>
      </c>
      <c r="K52" s="151">
        <f t="shared" ref="K52" si="45">I52/J52</f>
        <v>0.68288188939915018</v>
      </c>
      <c r="L52" s="169">
        <f>SUM(L48:L51)</f>
        <v>32318196.059999999</v>
      </c>
      <c r="M52" s="169">
        <f>SUM(M48:M51)</f>
        <v>44315555.962823749</v>
      </c>
      <c r="N52" s="153">
        <f t="shared" ref="N52" si="46">L52/M52</f>
        <v>0.72927430013766914</v>
      </c>
      <c r="O52" s="171">
        <f>SUM(O48:O51)</f>
        <v>109378679.35430001</v>
      </c>
      <c r="P52" s="172">
        <f>SUM(P48:P51)</f>
        <v>174542246.94</v>
      </c>
      <c r="Q52" s="156">
        <f t="shared" ref="Q52" si="47">O52/P52</f>
        <v>0.62666019987642085</v>
      </c>
      <c r="R52" s="172">
        <f>SUM(R48:R51)</f>
        <v>345388.66590000002</v>
      </c>
      <c r="S52" s="172">
        <f>SUM(S48:S51)</f>
        <v>317298.27289386105</v>
      </c>
      <c r="T52" s="157">
        <f t="shared" ref="T52" si="48">R52/S52</f>
        <v>1.0885299272194131</v>
      </c>
    </row>
    <row r="53" spans="1:20" ht="13.5" thickTop="1" thickBot="1" x14ac:dyDescent="0.4">
      <c r="E53" s="114"/>
      <c r="F53" s="173"/>
      <c r="G53" s="174"/>
      <c r="H53" s="175"/>
      <c r="I53" s="176"/>
      <c r="J53" s="174"/>
      <c r="K53" s="175"/>
      <c r="L53" s="176"/>
      <c r="M53" s="174"/>
      <c r="N53" s="177"/>
      <c r="O53" s="173"/>
      <c r="P53" s="174"/>
      <c r="Q53" s="175"/>
      <c r="R53" s="176"/>
      <c r="S53" s="174"/>
      <c r="T53" s="179"/>
    </row>
    <row r="54" spans="1:20" ht="14.25" hidden="1" customHeight="1" x14ac:dyDescent="0.65">
      <c r="E54" s="251" t="s">
        <v>100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</row>
    <row r="55" spans="1:20" ht="14.25" hidden="1" customHeight="1" x14ac:dyDescent="0.65">
      <c r="E55" s="251" t="s">
        <v>29</v>
      </c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</row>
    <row r="56" spans="1:20" ht="14.25" hidden="1" customHeight="1" x14ac:dyDescent="0.5">
      <c r="E56" s="252" t="str">
        <f>TEXT($B$4,"0000")&amp; " YTD through "&amp;TEXT($A$7,"MMMMMM")</f>
        <v>2021 YTD through December</v>
      </c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</row>
    <row r="57" spans="1:20" ht="14.25" hidden="1" customHeight="1" x14ac:dyDescent="0.35">
      <c r="E57" s="114"/>
      <c r="F57" s="113"/>
      <c r="H57" s="114"/>
      <c r="I57" s="113"/>
      <c r="K57" s="114"/>
      <c r="L57" s="113"/>
      <c r="M57" s="180"/>
    </row>
    <row r="58" spans="1:20" ht="16.149999999999999" thickBot="1" x14ac:dyDescent="0.4">
      <c r="D58" s="181" t="s">
        <v>50</v>
      </c>
      <c r="F58" s="227"/>
      <c r="H58" s="114"/>
      <c r="I58" s="113"/>
      <c r="K58" s="114"/>
      <c r="L58" s="113"/>
      <c r="N58" s="110"/>
    </row>
    <row r="59" spans="1:20" ht="15" x14ac:dyDescent="0.45">
      <c r="A59" s="131"/>
      <c r="B59" s="131"/>
      <c r="C59" s="131"/>
      <c r="D59" s="124" t="s">
        <v>13</v>
      </c>
      <c r="F59" s="253" t="s">
        <v>33</v>
      </c>
      <c r="G59" s="254"/>
      <c r="H59" s="254"/>
      <c r="I59" s="255" t="s">
        <v>34</v>
      </c>
      <c r="J59" s="255"/>
      <c r="K59" s="255"/>
      <c r="L59" s="254" t="s">
        <v>35</v>
      </c>
      <c r="M59" s="254"/>
      <c r="N59" s="256"/>
      <c r="O59" s="257" t="s">
        <v>36</v>
      </c>
      <c r="P59" s="258"/>
      <c r="Q59" s="258"/>
      <c r="R59" s="258" t="s">
        <v>37</v>
      </c>
      <c r="S59" s="258"/>
      <c r="T59" s="259"/>
    </row>
    <row r="60" spans="1:20" ht="14.25" x14ac:dyDescent="0.45">
      <c r="A60" s="131">
        <v>17845</v>
      </c>
      <c r="B60" s="131"/>
      <c r="C60" s="131" t="str">
        <f t="shared" ref="C60:C61" si="49">TEXT($A$4+0,"000000")&amp;TEXT(YEAR($A$7),"0000")&amp;TEXT(A60+0,"00000")&amp;TEXT($A$8,"00")</f>
        <v>18635820211784512</v>
      </c>
      <c r="D60" s="14" t="s">
        <v>101</v>
      </c>
      <c r="E60" s="132">
        <f t="shared" si="0"/>
        <v>1</v>
      </c>
      <c r="F60" s="134">
        <v>0</v>
      </c>
      <c r="G60" s="134"/>
      <c r="H60" s="183"/>
      <c r="I60" s="161">
        <v>0</v>
      </c>
      <c r="J60" s="161"/>
      <c r="K60" s="183"/>
      <c r="L60" s="166">
        <f>F60+I60</f>
        <v>0</v>
      </c>
      <c r="M60" s="166"/>
      <c r="N60" s="183"/>
      <c r="O60" s="160">
        <v>0</v>
      </c>
      <c r="P60" s="228"/>
      <c r="Q60" s="183"/>
      <c r="R60" s="160">
        <v>0</v>
      </c>
      <c r="S60" s="228"/>
      <c r="T60" s="183"/>
    </row>
    <row r="61" spans="1:20" ht="14.25" x14ac:dyDescent="0.45">
      <c r="A61" s="131">
        <v>17851</v>
      </c>
      <c r="B61" s="131"/>
      <c r="C61" s="131" t="str">
        <f t="shared" si="49"/>
        <v>18635820211785112</v>
      </c>
      <c r="D61" s="14" t="s">
        <v>107</v>
      </c>
      <c r="E61" s="132">
        <f t="shared" si="0"/>
        <v>1</v>
      </c>
      <c r="F61" s="142">
        <v>0</v>
      </c>
      <c r="G61" s="134"/>
      <c r="H61" s="183"/>
      <c r="I61" s="162">
        <v>0</v>
      </c>
      <c r="J61" s="161"/>
      <c r="K61" s="183"/>
      <c r="L61" s="213">
        <f>F61+I61</f>
        <v>0</v>
      </c>
      <c r="M61" s="166"/>
      <c r="N61" s="183"/>
      <c r="O61" s="145">
        <v>0</v>
      </c>
      <c r="P61" s="228"/>
      <c r="Q61" s="183"/>
      <c r="R61" s="145">
        <v>0</v>
      </c>
      <c r="S61" s="228"/>
      <c r="T61" s="183"/>
    </row>
    <row r="62" spans="1:20" ht="14.25" x14ac:dyDescent="0.35">
      <c r="A62" s="131"/>
      <c r="B62" s="131"/>
      <c r="C62" s="131"/>
      <c r="F62" s="186">
        <f>SUM(F60:F61)</f>
        <v>0</v>
      </c>
      <c r="H62" s="114"/>
      <c r="I62" s="186">
        <f>SUM(I60:I61)</f>
        <v>0</v>
      </c>
      <c r="K62" s="186"/>
      <c r="L62" s="186">
        <f>SUM(L60:L61)</f>
        <v>0</v>
      </c>
      <c r="O62" s="190">
        <f>SUM(O60:O61)</f>
        <v>0</v>
      </c>
      <c r="R62" s="190">
        <f>SUM(R60:R61)</f>
        <v>0</v>
      </c>
    </row>
    <row r="63" spans="1:20" ht="14.25" x14ac:dyDescent="0.45">
      <c r="A63" s="131"/>
      <c r="B63" s="131"/>
      <c r="C63" s="131"/>
      <c r="D63" s="124" t="s">
        <v>46</v>
      </c>
      <c r="F63" s="186"/>
      <c r="H63" s="114"/>
      <c r="I63" s="166"/>
      <c r="K63" s="114"/>
      <c r="L63" s="166"/>
    </row>
    <row r="64" spans="1:20" ht="14.25" x14ac:dyDescent="0.45">
      <c r="A64" s="131">
        <v>17817</v>
      </c>
      <c r="B64" s="131"/>
      <c r="C64" s="131" t="str">
        <f t="shared" ref="C64:C66" si="50">TEXT($A$4+0,"000000")&amp;TEXT(YEAR($A$7),"0000")&amp;TEXT(A64+0,"00000")&amp;TEXT($A$8,"00")</f>
        <v>18635820211781712</v>
      </c>
      <c r="D64" s="14" t="s">
        <v>51</v>
      </c>
      <c r="E64" s="132">
        <f t="shared" si="14"/>
        <v>1</v>
      </c>
      <c r="F64" s="134">
        <v>1371859.9125254289</v>
      </c>
      <c r="G64" s="161"/>
      <c r="H64" s="183"/>
      <c r="I64" s="134">
        <v>4408275.6100000003</v>
      </c>
      <c r="J64" s="161"/>
      <c r="K64" s="183"/>
      <c r="L64" s="166">
        <f>F64+I64</f>
        <v>5780135.5225254297</v>
      </c>
      <c r="M64" s="166"/>
      <c r="N64" s="183"/>
      <c r="O64" s="160">
        <v>18476695.814100001</v>
      </c>
      <c r="P64" s="160"/>
      <c r="Q64" s="183"/>
      <c r="R64" s="160">
        <v>2867.9380999999998</v>
      </c>
      <c r="S64" s="160"/>
      <c r="T64" s="183"/>
    </row>
    <row r="65" spans="1:20" ht="14.25" x14ac:dyDescent="0.45">
      <c r="A65" s="131">
        <v>17822</v>
      </c>
      <c r="B65" s="131"/>
      <c r="C65" s="131" t="str">
        <f t="shared" si="50"/>
        <v>18635820211782212</v>
      </c>
      <c r="D65" s="14" t="s">
        <v>102</v>
      </c>
      <c r="E65" s="132">
        <f t="shared" si="14"/>
        <v>1</v>
      </c>
      <c r="F65" s="134">
        <v>0</v>
      </c>
      <c r="G65" s="161"/>
      <c r="H65" s="183"/>
      <c r="I65" s="134">
        <v>0</v>
      </c>
      <c r="J65" s="161"/>
      <c r="K65" s="183"/>
      <c r="L65" s="166">
        <f>F65+I65</f>
        <v>0</v>
      </c>
      <c r="M65" s="166"/>
      <c r="N65" s="183"/>
      <c r="O65" s="160">
        <v>0</v>
      </c>
      <c r="P65" s="160"/>
      <c r="Q65" s="183"/>
      <c r="R65" s="160">
        <v>0</v>
      </c>
      <c r="S65" s="160"/>
      <c r="T65" s="183"/>
    </row>
    <row r="66" spans="1:20" ht="14.25" x14ac:dyDescent="0.45">
      <c r="A66" s="131">
        <v>17844</v>
      </c>
      <c r="B66" s="131"/>
      <c r="C66" s="131" t="str">
        <f t="shared" si="50"/>
        <v>18635820211784412</v>
      </c>
      <c r="D66" s="14" t="s">
        <v>101</v>
      </c>
      <c r="E66" s="132">
        <f t="shared" si="14"/>
        <v>1</v>
      </c>
      <c r="F66" s="142">
        <v>0</v>
      </c>
      <c r="G66" s="161"/>
      <c r="H66" s="183"/>
      <c r="I66" s="142">
        <v>0</v>
      </c>
      <c r="J66" s="161"/>
      <c r="K66" s="183"/>
      <c r="L66" s="213">
        <f>F66+I66</f>
        <v>0</v>
      </c>
      <c r="M66" s="166"/>
      <c r="N66" s="183"/>
      <c r="O66" s="145">
        <v>0</v>
      </c>
      <c r="P66" s="160"/>
      <c r="Q66" s="183"/>
      <c r="R66" s="145">
        <v>0</v>
      </c>
      <c r="S66" s="160"/>
      <c r="T66" s="183"/>
    </row>
    <row r="67" spans="1:20" ht="14.25" x14ac:dyDescent="0.35">
      <c r="A67" s="131"/>
      <c r="B67" s="131"/>
      <c r="C67" s="131"/>
      <c r="F67" s="186">
        <f>SUM(F64:F66)</f>
        <v>1371859.9125254289</v>
      </c>
      <c r="H67" s="114"/>
      <c r="I67" s="186">
        <f>SUM(I64:I66)</f>
        <v>4408275.6100000003</v>
      </c>
      <c r="K67" s="114"/>
      <c r="L67" s="186">
        <f>SUM(L64:L66)</f>
        <v>5780135.5225254297</v>
      </c>
      <c r="O67" s="190">
        <f>SUM(O64:O66)</f>
        <v>18476695.814100001</v>
      </c>
      <c r="R67" s="190">
        <f>SUM(R64:R66)</f>
        <v>2867.9380999999998</v>
      </c>
    </row>
    <row r="68" spans="1:20" ht="14.25" x14ac:dyDescent="0.45">
      <c r="A68" s="131"/>
      <c r="B68" s="131"/>
      <c r="C68" s="131"/>
      <c r="D68" s="18" t="s">
        <v>9</v>
      </c>
      <c r="F68" s="186"/>
      <c r="H68" s="114"/>
      <c r="I68" s="166"/>
      <c r="K68" s="114"/>
      <c r="L68" s="166"/>
    </row>
    <row r="69" spans="1:20" ht="14.25" x14ac:dyDescent="0.45">
      <c r="A69" s="131"/>
      <c r="B69" s="131"/>
      <c r="C69" s="131"/>
      <c r="D69" s="19" t="s">
        <v>13</v>
      </c>
      <c r="F69" s="186">
        <f>F48+F62</f>
        <v>1302624.8795309919</v>
      </c>
      <c r="H69" s="114"/>
      <c r="I69" s="186">
        <f>I48+I62</f>
        <v>4080825.19</v>
      </c>
      <c r="K69" s="114"/>
      <c r="L69" s="186">
        <f>L48+L62</f>
        <v>5383450.0695309918</v>
      </c>
      <c r="O69" s="190">
        <f>O48+O62</f>
        <v>31705969.069499999</v>
      </c>
      <c r="R69" s="190">
        <f>R48+R62</f>
        <v>10112.641</v>
      </c>
    </row>
    <row r="70" spans="1:20" ht="14.25" x14ac:dyDescent="0.45">
      <c r="A70" s="131"/>
      <c r="B70" s="131"/>
      <c r="C70" s="131"/>
      <c r="D70" s="19" t="s">
        <v>14</v>
      </c>
      <c r="F70" s="186">
        <f>F49+F67</f>
        <v>4904279.7129937829</v>
      </c>
      <c r="H70" s="114"/>
      <c r="I70" s="186">
        <f>I49+I67</f>
        <v>15471175.809999999</v>
      </c>
      <c r="K70" s="114"/>
      <c r="L70" s="186">
        <f>L49+L67</f>
        <v>20375455.522993784</v>
      </c>
      <c r="O70" s="190">
        <f>O49+O67</f>
        <v>95371789.098900005</v>
      </c>
      <c r="R70" s="190">
        <f>R49+R67</f>
        <v>26061.963</v>
      </c>
    </row>
    <row r="71" spans="1:20" x14ac:dyDescent="0.35">
      <c r="D71" s="167" t="s">
        <v>72</v>
      </c>
      <c r="F71" s="180">
        <f>F50</f>
        <v>1833486.1700000002</v>
      </c>
      <c r="I71" s="180">
        <f>I50</f>
        <v>76150</v>
      </c>
      <c r="L71" s="180">
        <f>L50</f>
        <v>1909636.17</v>
      </c>
      <c r="O71" s="190">
        <f>O50</f>
        <v>0</v>
      </c>
      <c r="R71" s="190">
        <f>R50</f>
        <v>0</v>
      </c>
    </row>
    <row r="72" spans="1:20" ht="14.65" thickBot="1" x14ac:dyDescent="0.5">
      <c r="D72" s="16" t="s">
        <v>49</v>
      </c>
      <c r="F72" s="229">
        <f>SUM(F69:F71)</f>
        <v>8040390.7625247743</v>
      </c>
      <c r="I72" s="229">
        <f>SUM(I69:I71)</f>
        <v>19628151</v>
      </c>
      <c r="L72" s="229">
        <f>SUM(L69:L71)</f>
        <v>27668541.762524776</v>
      </c>
      <c r="O72" s="192">
        <f>SUM(O69:O71)</f>
        <v>127077758.1684</v>
      </c>
      <c r="R72" s="192">
        <f>SUM(R69:R71)</f>
        <v>36174.603999999999</v>
      </c>
    </row>
    <row r="73" spans="1:20" ht="13.15" thickTop="1" x14ac:dyDescent="0.35"/>
    <row r="74" spans="1:20" ht="14.25" x14ac:dyDescent="0.45">
      <c r="D74" t="s">
        <v>52</v>
      </c>
      <c r="J74" s="117"/>
      <c r="K74" s="230" t="s">
        <v>103</v>
      </c>
      <c r="L74" s="231">
        <f>L72-U72</f>
        <v>27668541.762524776</v>
      </c>
      <c r="O74" s="190">
        <f>O72-AA72</f>
        <v>127077758.1684</v>
      </c>
      <c r="R74" s="190">
        <f>R72-AD72</f>
        <v>36174.603999999999</v>
      </c>
    </row>
    <row r="75" spans="1:20" x14ac:dyDescent="0.35">
      <c r="D75" t="s">
        <v>53</v>
      </c>
      <c r="E75" s="114"/>
      <c r="F75" s="227"/>
      <c r="H75" s="114"/>
      <c r="I75" s="113"/>
      <c r="K75" s="114"/>
      <c r="L75" s="113"/>
    </row>
    <row r="76" spans="1:20" ht="14.25" x14ac:dyDescent="0.45">
      <c r="A76" s="131">
        <v>17821</v>
      </c>
      <c r="B76" s="131"/>
      <c r="C76" s="131" t="str">
        <f>TEXT($A$4+0,"000000")&amp;TEXT(YEAR($A$7),"0000")&amp;TEXT(A76+0,"00000")&amp;TEXT($A$8,"00")</f>
        <v>18635820211782112</v>
      </c>
      <c r="D76" s="14" t="s">
        <v>22</v>
      </c>
      <c r="E76" s="132">
        <f t="shared" ref="E76:E77" si="51">MONTH($A$7)/12</f>
        <v>1</v>
      </c>
      <c r="F76" s="133">
        <v>0</v>
      </c>
      <c r="G76" s="161"/>
      <c r="H76" s="135"/>
      <c r="I76" s="134">
        <v>0</v>
      </c>
      <c r="J76" s="161"/>
      <c r="K76" s="135"/>
      <c r="L76" s="136">
        <f>F76+I76</f>
        <v>0</v>
      </c>
      <c r="M76" s="166"/>
      <c r="N76" s="137"/>
      <c r="O76" s="138">
        <v>0</v>
      </c>
      <c r="P76" s="160"/>
      <c r="Q76" s="135"/>
      <c r="R76" s="140">
        <v>0</v>
      </c>
      <c r="S76" s="160"/>
      <c r="T76" s="137"/>
    </row>
    <row r="77" spans="1:20" ht="14.25" x14ac:dyDescent="0.45">
      <c r="A77" s="131">
        <v>17823</v>
      </c>
      <c r="B77" s="131"/>
      <c r="C77" s="131" t="str">
        <f>TEXT($A$4+0,"000000")&amp;TEXT(YEAR($A$7),"0000")&amp;TEXT(A77+0,"00000")&amp;TEXT($A$8,"00")</f>
        <v>18635820211782312</v>
      </c>
      <c r="D77" s="14" t="s">
        <v>22</v>
      </c>
      <c r="E77" s="132">
        <f t="shared" si="51"/>
        <v>1</v>
      </c>
      <c r="F77" s="133">
        <v>0</v>
      </c>
      <c r="G77" s="161"/>
      <c r="H77" s="135"/>
      <c r="I77" s="134">
        <v>0</v>
      </c>
      <c r="J77" s="161"/>
      <c r="K77" s="135"/>
      <c r="L77" s="136">
        <f>F77+I77</f>
        <v>0</v>
      </c>
      <c r="M77" s="166"/>
      <c r="N77" s="137"/>
      <c r="O77" s="138">
        <v>0</v>
      </c>
      <c r="P77" s="160"/>
      <c r="Q77" s="135"/>
      <c r="R77" s="140">
        <v>0</v>
      </c>
      <c r="S77" s="160"/>
      <c r="T77" s="137"/>
    </row>
    <row r="78" spans="1:20" x14ac:dyDescent="0.35">
      <c r="E78" s="114"/>
      <c r="F78" s="113">
        <f>SUM(F76:F77)</f>
        <v>0</v>
      </c>
      <c r="H78" s="114"/>
      <c r="I78" s="113">
        <f>SUM(I76:I77)</f>
        <v>0</v>
      </c>
      <c r="K78" s="114"/>
      <c r="L78" s="113">
        <f>SUM(L76:L77)</f>
        <v>0</v>
      </c>
      <c r="O78" s="113">
        <f>SUM(O76:O77)</f>
        <v>0</v>
      </c>
      <c r="R78" s="113">
        <f>SUM(R76:R77)</f>
        <v>0</v>
      </c>
    </row>
    <row r="79" spans="1:20" x14ac:dyDescent="0.35">
      <c r="E79" s="114"/>
      <c r="F79" s="113"/>
      <c r="H79" s="114"/>
      <c r="I79" s="113"/>
      <c r="K79" s="114"/>
      <c r="L79" s="113"/>
    </row>
    <row r="80" spans="1:20" x14ac:dyDescent="0.35">
      <c r="E80" s="114"/>
      <c r="F80" s="113"/>
      <c r="H80" s="114"/>
      <c r="I80" s="113"/>
      <c r="K80" s="114"/>
      <c r="L80" s="113"/>
      <c r="O80" s="113"/>
      <c r="R80" s="113"/>
    </row>
    <row r="81" spans="5:12" x14ac:dyDescent="0.35">
      <c r="E81" s="114"/>
      <c r="F81" s="113"/>
      <c r="H81" s="114"/>
      <c r="I81" s="113"/>
      <c r="K81" s="114"/>
      <c r="L81" s="113"/>
    </row>
    <row r="82" spans="5:12" x14ac:dyDescent="0.35">
      <c r="E82" s="114"/>
      <c r="F82" s="113"/>
      <c r="H82" s="114"/>
      <c r="I82" s="113"/>
      <c r="K82" s="114"/>
      <c r="L82" s="113"/>
    </row>
    <row r="83" spans="5:12" x14ac:dyDescent="0.35">
      <c r="E83" s="114"/>
      <c r="F83" s="113"/>
      <c r="H83" s="114"/>
      <c r="I83" s="113"/>
      <c r="K83" s="114"/>
      <c r="L83" s="113"/>
    </row>
    <row r="84" spans="5:12" x14ac:dyDescent="0.35">
      <c r="E84" s="114"/>
      <c r="F84" s="113"/>
      <c r="H84" s="114"/>
      <c r="I84" s="113"/>
      <c r="K84" s="114"/>
      <c r="L84" s="113"/>
    </row>
    <row r="85" spans="5:12" x14ac:dyDescent="0.35">
      <c r="E85" s="114"/>
      <c r="F85" s="113"/>
      <c r="H85" s="114"/>
      <c r="I85" s="113"/>
      <c r="K85" s="114"/>
      <c r="L85" s="113"/>
    </row>
    <row r="86" spans="5:12" x14ac:dyDescent="0.35">
      <c r="E86" s="114"/>
      <c r="F86" s="113"/>
      <c r="H86" s="114"/>
      <c r="I86" s="113"/>
      <c r="K86" s="114"/>
      <c r="L86" s="113"/>
    </row>
    <row r="87" spans="5:12" x14ac:dyDescent="0.35">
      <c r="E87" s="114"/>
      <c r="F87" s="113"/>
      <c r="H87" s="114"/>
      <c r="I87" s="113"/>
      <c r="K87" s="114"/>
      <c r="L87" s="113"/>
    </row>
    <row r="88" spans="5:12" x14ac:dyDescent="0.35">
      <c r="E88" s="114"/>
      <c r="F88" s="113"/>
      <c r="H88" s="114"/>
      <c r="I88" s="113"/>
      <c r="K88" s="114"/>
      <c r="L88" s="113"/>
    </row>
    <row r="89" spans="5:12" x14ac:dyDescent="0.35">
      <c r="E89" s="114"/>
      <c r="F89" s="113"/>
      <c r="H89" s="114"/>
      <c r="I89" s="113"/>
      <c r="K89" s="114"/>
      <c r="L89" s="113"/>
    </row>
    <row r="90" spans="5:12" x14ac:dyDescent="0.35">
      <c r="E90" s="114"/>
      <c r="F90" s="113"/>
      <c r="H90" s="114"/>
      <c r="I90" s="113"/>
      <c r="K90" s="114"/>
      <c r="L90" s="113"/>
    </row>
    <row r="91" spans="5:12" x14ac:dyDescent="0.35">
      <c r="E91" s="114"/>
      <c r="F91" s="113"/>
      <c r="H91" s="114"/>
      <c r="I91" s="113"/>
      <c r="K91" s="114"/>
      <c r="L91" s="113"/>
    </row>
    <row r="92" spans="5:12" x14ac:dyDescent="0.35">
      <c r="E92" s="114"/>
      <c r="F92" s="113"/>
      <c r="H92" s="114"/>
      <c r="I92" s="113"/>
      <c r="K92" s="114"/>
      <c r="L92" s="113"/>
    </row>
    <row r="93" spans="5:12" x14ac:dyDescent="0.35">
      <c r="E93" s="114"/>
      <c r="F93" s="113"/>
      <c r="H93" s="114"/>
      <c r="I93" s="113"/>
      <c r="K93" s="114"/>
      <c r="L93" s="113"/>
    </row>
    <row r="94" spans="5:12" x14ac:dyDescent="0.35">
      <c r="E94" s="114"/>
      <c r="F94" s="113"/>
      <c r="H94" s="114"/>
      <c r="I94" s="113"/>
      <c r="K94" s="114"/>
      <c r="L94" s="113"/>
    </row>
    <row r="95" spans="5:12" x14ac:dyDescent="0.35">
      <c r="E95" s="114"/>
      <c r="F95" s="113"/>
      <c r="H95" s="114"/>
      <c r="I95" s="113"/>
      <c r="K95" s="114"/>
      <c r="L95" s="113"/>
    </row>
    <row r="96" spans="5:12" x14ac:dyDescent="0.35">
      <c r="E96" s="114"/>
      <c r="F96" s="113"/>
      <c r="H96" s="114"/>
      <c r="I96" s="113"/>
      <c r="K96" s="114"/>
      <c r="L96" s="113"/>
    </row>
    <row r="97" spans="5:12" x14ac:dyDescent="0.35">
      <c r="E97" s="114"/>
      <c r="F97" s="113"/>
      <c r="H97" s="114"/>
      <c r="I97" s="113"/>
      <c r="K97" s="114"/>
      <c r="L97" s="113"/>
    </row>
    <row r="98" spans="5:12" x14ac:dyDescent="0.35">
      <c r="E98" s="114"/>
      <c r="F98" s="113"/>
      <c r="H98" s="114"/>
      <c r="I98" s="113"/>
      <c r="K98" s="114"/>
      <c r="L98" s="113"/>
    </row>
    <row r="99" spans="5:12" x14ac:dyDescent="0.35">
      <c r="E99" s="114"/>
      <c r="F99" s="113"/>
      <c r="H99" s="114"/>
      <c r="I99" s="113"/>
      <c r="K99" s="114"/>
      <c r="L99" s="113"/>
    </row>
    <row r="100" spans="5:12" x14ac:dyDescent="0.35">
      <c r="E100" s="114"/>
      <c r="F100" s="113"/>
      <c r="H100" s="114"/>
      <c r="I100" s="113"/>
      <c r="K100" s="114"/>
      <c r="L100" s="113"/>
    </row>
    <row r="101" spans="5:12" x14ac:dyDescent="0.35">
      <c r="E101" s="114"/>
      <c r="F101" s="113"/>
      <c r="H101" s="114"/>
      <c r="I101" s="113"/>
      <c r="K101" s="114"/>
      <c r="L101" s="113"/>
    </row>
    <row r="102" spans="5:12" x14ac:dyDescent="0.35">
      <c r="E102" s="114"/>
      <c r="F102" s="113"/>
      <c r="H102" s="114"/>
      <c r="I102" s="113"/>
      <c r="K102" s="114"/>
      <c r="L102" s="113"/>
    </row>
    <row r="103" spans="5:12" x14ac:dyDescent="0.35">
      <c r="E103" s="114"/>
      <c r="F103" s="113"/>
      <c r="H103" s="114"/>
      <c r="I103" s="113"/>
      <c r="K103" s="114"/>
      <c r="L103" s="113"/>
    </row>
    <row r="104" spans="5:12" x14ac:dyDescent="0.35">
      <c r="E104" s="114"/>
      <c r="F104" s="113"/>
      <c r="H104" s="114"/>
      <c r="I104" s="113"/>
      <c r="K104" s="114"/>
      <c r="L104" s="113"/>
    </row>
    <row r="105" spans="5:12" x14ac:dyDescent="0.35">
      <c r="E105" s="114"/>
      <c r="F105" s="113"/>
      <c r="H105" s="114"/>
      <c r="I105" s="113"/>
      <c r="K105" s="114"/>
      <c r="L105" s="113"/>
    </row>
    <row r="106" spans="5:12" x14ac:dyDescent="0.35">
      <c r="E106" s="114"/>
      <c r="F106" s="113"/>
      <c r="H106" s="114"/>
      <c r="I106" s="113"/>
      <c r="K106" s="114"/>
      <c r="L106" s="113"/>
    </row>
    <row r="107" spans="5:12" x14ac:dyDescent="0.35">
      <c r="E107" s="114"/>
      <c r="F107" s="113"/>
      <c r="H107" s="114"/>
      <c r="I107" s="113"/>
      <c r="K107" s="114"/>
      <c r="L107" s="113"/>
    </row>
    <row r="108" spans="5:12" x14ac:dyDescent="0.35">
      <c r="E108" s="114"/>
      <c r="F108" s="113"/>
      <c r="H108" s="114"/>
      <c r="I108" s="113"/>
      <c r="K108" s="114"/>
      <c r="L108" s="113"/>
    </row>
    <row r="109" spans="5:12" x14ac:dyDescent="0.35">
      <c r="E109" s="114"/>
      <c r="F109" s="113"/>
      <c r="H109" s="114"/>
      <c r="I109" s="113"/>
      <c r="K109" s="114"/>
      <c r="L109" s="113"/>
    </row>
    <row r="110" spans="5:12" x14ac:dyDescent="0.35">
      <c r="E110" s="114"/>
      <c r="F110" s="113"/>
      <c r="H110" s="114"/>
      <c r="I110" s="113"/>
      <c r="K110" s="114"/>
      <c r="L110" s="113"/>
    </row>
    <row r="111" spans="5:12" x14ac:dyDescent="0.35">
      <c r="E111" s="114"/>
      <c r="F111" s="113"/>
      <c r="H111" s="114"/>
      <c r="I111" s="113"/>
      <c r="K111" s="114"/>
      <c r="L111" s="113"/>
    </row>
    <row r="112" spans="5:12" x14ac:dyDescent="0.35">
      <c r="E112" s="114"/>
      <c r="F112" s="113"/>
      <c r="H112" s="114"/>
      <c r="I112" s="113"/>
      <c r="K112" s="114"/>
      <c r="L112" s="113"/>
    </row>
    <row r="113" spans="5:12" x14ac:dyDescent="0.35">
      <c r="E113" s="114"/>
      <c r="F113" s="113"/>
      <c r="H113" s="114"/>
      <c r="I113" s="113"/>
      <c r="K113" s="114"/>
      <c r="L113" s="113"/>
    </row>
    <row r="114" spans="5:12" x14ac:dyDescent="0.35">
      <c r="E114" s="114"/>
      <c r="F114" s="113"/>
      <c r="H114" s="114"/>
      <c r="I114" s="113"/>
      <c r="K114" s="114"/>
      <c r="L114" s="113"/>
    </row>
    <row r="115" spans="5:12" x14ac:dyDescent="0.35">
      <c r="E115" s="114"/>
      <c r="F115" s="113"/>
      <c r="H115" s="114"/>
      <c r="I115" s="113"/>
      <c r="K115" s="114"/>
      <c r="L115" s="113"/>
    </row>
    <row r="116" spans="5:12" x14ac:dyDescent="0.35">
      <c r="E116" s="114"/>
      <c r="F116" s="113"/>
      <c r="H116" s="114"/>
      <c r="I116" s="113"/>
      <c r="K116" s="114"/>
      <c r="L116" s="113"/>
    </row>
    <row r="117" spans="5:12" x14ac:dyDescent="0.35">
      <c r="E117" s="114"/>
      <c r="F117" s="113"/>
      <c r="H117" s="114"/>
      <c r="I117" s="113"/>
      <c r="K117" s="114"/>
      <c r="L117" s="113"/>
    </row>
    <row r="118" spans="5:12" x14ac:dyDescent="0.35">
      <c r="E118" s="114"/>
      <c r="F118" s="113"/>
      <c r="H118" s="114"/>
      <c r="I118" s="113"/>
      <c r="K118" s="114"/>
      <c r="L118" s="113"/>
    </row>
    <row r="119" spans="5:12" x14ac:dyDescent="0.35">
      <c r="E119" s="114"/>
      <c r="F119" s="113"/>
      <c r="H119" s="114"/>
      <c r="I119" s="113"/>
      <c r="K119" s="114"/>
      <c r="L119" s="113"/>
    </row>
    <row r="120" spans="5:12" x14ac:dyDescent="0.35">
      <c r="E120" s="114"/>
      <c r="F120" s="113"/>
      <c r="H120" s="114"/>
      <c r="I120" s="113"/>
      <c r="K120" s="114"/>
      <c r="L120" s="113"/>
    </row>
    <row r="121" spans="5:12" x14ac:dyDescent="0.35">
      <c r="E121" s="114"/>
      <c r="F121" s="113"/>
      <c r="H121" s="114"/>
      <c r="I121" s="113"/>
      <c r="K121" s="114"/>
      <c r="L121" s="113"/>
    </row>
    <row r="122" spans="5:12" x14ac:dyDescent="0.35">
      <c r="E122" s="114"/>
      <c r="F122" s="113"/>
      <c r="H122" s="114"/>
      <c r="I122" s="113"/>
      <c r="K122" s="114"/>
      <c r="L122" s="113"/>
    </row>
    <row r="123" spans="5:12" x14ac:dyDescent="0.35">
      <c r="E123" s="114"/>
      <c r="F123" s="113"/>
      <c r="H123" s="114"/>
      <c r="I123" s="113"/>
      <c r="K123" s="114"/>
      <c r="L123" s="113"/>
    </row>
    <row r="124" spans="5:12" x14ac:dyDescent="0.35">
      <c r="E124" s="114"/>
      <c r="F124" s="113"/>
      <c r="H124" s="114"/>
      <c r="I124" s="113"/>
      <c r="K124" s="114"/>
      <c r="L124" s="113"/>
    </row>
    <row r="125" spans="5:12" x14ac:dyDescent="0.35">
      <c r="E125" s="114"/>
      <c r="F125" s="113"/>
      <c r="H125" s="114"/>
      <c r="I125" s="113"/>
      <c r="K125" s="114"/>
      <c r="L125" s="113"/>
    </row>
    <row r="126" spans="5:12" x14ac:dyDescent="0.35">
      <c r="E126" s="114"/>
      <c r="F126" s="113"/>
      <c r="H126" s="114"/>
      <c r="I126" s="113"/>
      <c r="K126" s="114"/>
      <c r="L126" s="113"/>
    </row>
    <row r="127" spans="5:12" x14ac:dyDescent="0.35">
      <c r="E127" s="114"/>
      <c r="F127" s="113"/>
      <c r="H127" s="114"/>
      <c r="I127" s="113"/>
      <c r="K127" s="114"/>
      <c r="L127" s="113"/>
    </row>
    <row r="128" spans="5:12" x14ac:dyDescent="0.35">
      <c r="E128" s="114"/>
      <c r="F128" s="113"/>
      <c r="H128" s="114"/>
      <c r="I128" s="113"/>
      <c r="K128" s="114"/>
      <c r="L128" s="113"/>
    </row>
    <row r="129" spans="5:12" x14ac:dyDescent="0.35">
      <c r="E129" s="114"/>
      <c r="F129" s="113"/>
      <c r="H129" s="114"/>
      <c r="I129" s="113"/>
      <c r="K129" s="114"/>
      <c r="L129" s="113"/>
    </row>
    <row r="130" spans="5:12" x14ac:dyDescent="0.35">
      <c r="E130" s="114"/>
      <c r="F130" s="113"/>
      <c r="H130" s="114"/>
      <c r="I130" s="113"/>
      <c r="K130" s="114"/>
      <c r="L130" s="113"/>
    </row>
    <row r="131" spans="5:12" x14ac:dyDescent="0.35">
      <c r="E131" s="114"/>
      <c r="F131" s="113"/>
      <c r="H131" s="114"/>
      <c r="I131" s="113"/>
      <c r="K131" s="114"/>
      <c r="L131" s="113"/>
    </row>
    <row r="132" spans="5:12" x14ac:dyDescent="0.35">
      <c r="E132" s="114"/>
      <c r="F132" s="113"/>
      <c r="H132" s="114"/>
      <c r="I132" s="113"/>
      <c r="K132" s="114"/>
      <c r="L132" s="113"/>
    </row>
    <row r="133" spans="5:12" x14ac:dyDescent="0.35">
      <c r="E133" s="114"/>
      <c r="F133" s="113"/>
      <c r="H133" s="114"/>
      <c r="I133" s="113"/>
      <c r="K133" s="114"/>
      <c r="L133" s="113"/>
    </row>
    <row r="134" spans="5:12" x14ac:dyDescent="0.35">
      <c r="E134" s="114"/>
      <c r="F134" s="113"/>
      <c r="H134" s="114"/>
      <c r="I134" s="113"/>
      <c r="K134" s="114"/>
      <c r="L134" s="113"/>
    </row>
    <row r="135" spans="5:12" x14ac:dyDescent="0.35">
      <c r="E135" s="114"/>
      <c r="F135" s="113"/>
      <c r="H135" s="114"/>
      <c r="I135" s="113"/>
      <c r="K135" s="114"/>
      <c r="L135" s="113"/>
    </row>
    <row r="136" spans="5:12" x14ac:dyDescent="0.35">
      <c r="E136" s="114"/>
      <c r="F136" s="113"/>
      <c r="H136" s="114"/>
      <c r="I136" s="113"/>
      <c r="K136" s="114"/>
      <c r="L136" s="113"/>
    </row>
    <row r="137" spans="5:12" x14ac:dyDescent="0.35">
      <c r="E137" s="114"/>
      <c r="F137" s="113"/>
      <c r="H137" s="114"/>
      <c r="I137" s="113"/>
      <c r="K137" s="114"/>
      <c r="L137" s="113"/>
    </row>
    <row r="138" spans="5:12" x14ac:dyDescent="0.35">
      <c r="E138" s="114"/>
      <c r="F138" s="113"/>
      <c r="H138" s="114"/>
      <c r="I138" s="113"/>
      <c r="K138" s="114"/>
      <c r="L138" s="113"/>
    </row>
    <row r="139" spans="5:12" x14ac:dyDescent="0.35">
      <c r="E139" s="114"/>
      <c r="F139" s="113"/>
      <c r="H139" s="114"/>
      <c r="I139" s="113"/>
      <c r="K139" s="114"/>
      <c r="L139" s="113"/>
    </row>
    <row r="140" spans="5:12" x14ac:dyDescent="0.35">
      <c r="E140" s="114"/>
      <c r="F140" s="113"/>
      <c r="H140" s="114"/>
      <c r="I140" s="113"/>
      <c r="K140" s="114"/>
      <c r="L140" s="113"/>
    </row>
    <row r="141" spans="5:12" x14ac:dyDescent="0.35">
      <c r="E141" s="114"/>
      <c r="F141" s="113"/>
      <c r="H141" s="114"/>
      <c r="I141" s="113"/>
      <c r="K141" s="114"/>
      <c r="L141" s="113"/>
    </row>
    <row r="142" spans="5:12" x14ac:dyDescent="0.35">
      <c r="E142" s="114"/>
      <c r="F142" s="113"/>
      <c r="H142" s="114"/>
      <c r="I142" s="113"/>
      <c r="K142" s="114"/>
      <c r="L142" s="113"/>
    </row>
    <row r="143" spans="5:12" x14ac:dyDescent="0.35">
      <c r="E143" s="114"/>
      <c r="F143" s="113"/>
      <c r="H143" s="114"/>
      <c r="I143" s="113"/>
      <c r="K143" s="114"/>
      <c r="L143" s="113"/>
    </row>
    <row r="144" spans="5:12" x14ac:dyDescent="0.35">
      <c r="E144" s="114"/>
      <c r="F144" s="113"/>
      <c r="H144" s="114"/>
      <c r="I144" s="113"/>
      <c r="K144" s="114"/>
      <c r="L144" s="113"/>
    </row>
    <row r="145" spans="5:12" x14ac:dyDescent="0.35">
      <c r="E145" s="114"/>
      <c r="F145" s="113"/>
      <c r="H145" s="114"/>
      <c r="I145" s="113"/>
      <c r="K145" s="114"/>
      <c r="L145" s="113"/>
    </row>
    <row r="146" spans="5:12" x14ac:dyDescent="0.35">
      <c r="E146" s="114"/>
      <c r="F146" s="113"/>
      <c r="H146" s="114"/>
      <c r="I146" s="113"/>
      <c r="K146" s="114"/>
      <c r="L146" s="113"/>
    </row>
    <row r="147" spans="5:12" x14ac:dyDescent="0.35">
      <c r="E147" s="114"/>
      <c r="F147" s="113"/>
      <c r="H147" s="114"/>
      <c r="I147" s="113"/>
      <c r="K147" s="114"/>
      <c r="L147" s="113"/>
    </row>
    <row r="148" spans="5:12" x14ac:dyDescent="0.35">
      <c r="E148" s="114"/>
      <c r="F148" s="113"/>
      <c r="H148" s="114"/>
      <c r="I148" s="113"/>
      <c r="K148" s="114"/>
      <c r="L148" s="113"/>
    </row>
    <row r="149" spans="5:12" x14ac:dyDescent="0.35">
      <c r="E149" s="114"/>
      <c r="F149" s="113"/>
      <c r="H149" s="114"/>
      <c r="I149" s="113"/>
      <c r="K149" s="114"/>
      <c r="L149" s="113"/>
    </row>
    <row r="150" spans="5:12" x14ac:dyDescent="0.35">
      <c r="E150" s="114"/>
      <c r="F150" s="113"/>
      <c r="H150" s="114"/>
      <c r="I150" s="113"/>
      <c r="K150" s="114"/>
      <c r="L150" s="113"/>
    </row>
    <row r="151" spans="5:12" x14ac:dyDescent="0.35">
      <c r="E151" s="114"/>
      <c r="F151" s="113"/>
      <c r="H151" s="114"/>
      <c r="I151" s="113"/>
      <c r="K151" s="114"/>
      <c r="L151" s="113"/>
    </row>
    <row r="152" spans="5:12" x14ac:dyDescent="0.35">
      <c r="E152" s="114"/>
      <c r="F152" s="113"/>
      <c r="H152" s="114"/>
      <c r="I152" s="113"/>
      <c r="K152" s="114"/>
      <c r="L152" s="113"/>
    </row>
    <row r="153" spans="5:12" x14ac:dyDescent="0.35">
      <c r="E153" s="114"/>
      <c r="F153" s="113"/>
      <c r="H153" s="114"/>
      <c r="I153" s="113"/>
      <c r="K153" s="114"/>
      <c r="L153" s="113"/>
    </row>
    <row r="154" spans="5:12" x14ac:dyDescent="0.35">
      <c r="E154" s="114"/>
      <c r="F154" s="113"/>
      <c r="H154" s="114"/>
      <c r="I154" s="113"/>
      <c r="K154" s="114"/>
      <c r="L154" s="113"/>
    </row>
    <row r="155" spans="5:12" x14ac:dyDescent="0.35">
      <c r="E155" s="114"/>
      <c r="F155" s="113"/>
      <c r="H155" s="114"/>
      <c r="I155" s="113"/>
      <c r="K155" s="114"/>
      <c r="L155" s="113"/>
    </row>
    <row r="156" spans="5:12" x14ac:dyDescent="0.35">
      <c r="E156" s="114"/>
      <c r="F156" s="113"/>
      <c r="H156" s="114"/>
      <c r="I156" s="113"/>
      <c r="K156" s="114"/>
      <c r="L156" s="113"/>
    </row>
    <row r="157" spans="5:12" x14ac:dyDescent="0.35">
      <c r="E157" s="114"/>
      <c r="F157" s="113"/>
      <c r="H157" s="114"/>
      <c r="I157" s="113"/>
      <c r="K157" s="114"/>
      <c r="L157" s="113"/>
    </row>
    <row r="158" spans="5:12" x14ac:dyDescent="0.35">
      <c r="E158" s="114"/>
      <c r="F158" s="113"/>
      <c r="H158" s="114"/>
      <c r="I158" s="113"/>
      <c r="K158" s="114"/>
      <c r="L158" s="113"/>
    </row>
    <row r="159" spans="5:12" x14ac:dyDescent="0.35">
      <c r="E159" s="114"/>
      <c r="F159" s="113"/>
      <c r="H159" s="114"/>
      <c r="I159" s="113"/>
      <c r="K159" s="114"/>
      <c r="L159" s="113"/>
    </row>
    <row r="160" spans="5:12" x14ac:dyDescent="0.35">
      <c r="E160" s="114"/>
      <c r="F160" s="113"/>
      <c r="H160" s="114"/>
      <c r="I160" s="113"/>
      <c r="K160" s="114"/>
      <c r="L160" s="113"/>
    </row>
    <row r="161" spans="5:12" x14ac:dyDescent="0.35">
      <c r="E161" s="114"/>
      <c r="F161" s="113"/>
      <c r="H161" s="114"/>
      <c r="I161" s="113"/>
      <c r="K161" s="114"/>
      <c r="L161" s="113"/>
    </row>
    <row r="162" spans="5:12" x14ac:dyDescent="0.35">
      <c r="E162" s="114"/>
      <c r="F162" s="113"/>
      <c r="H162" s="114"/>
      <c r="I162" s="113"/>
      <c r="K162" s="114"/>
      <c r="L162" s="113"/>
    </row>
    <row r="163" spans="5:12" x14ac:dyDescent="0.35">
      <c r="E163" s="114"/>
      <c r="F163" s="113"/>
      <c r="H163" s="114"/>
      <c r="I163" s="113"/>
      <c r="K163" s="114"/>
      <c r="L163" s="113"/>
    </row>
    <row r="164" spans="5:12" x14ac:dyDescent="0.35">
      <c r="E164" s="114"/>
      <c r="F164" s="113"/>
      <c r="H164" s="114"/>
      <c r="I164" s="113"/>
      <c r="K164" s="114"/>
      <c r="L164" s="113"/>
    </row>
    <row r="165" spans="5:12" x14ac:dyDescent="0.35">
      <c r="E165" s="114"/>
      <c r="F165" s="113"/>
      <c r="H165" s="114"/>
      <c r="I165" s="113"/>
      <c r="K165" s="114"/>
      <c r="L165" s="113"/>
    </row>
    <row r="166" spans="5:12" x14ac:dyDescent="0.35">
      <c r="E166" s="114"/>
      <c r="F166" s="113"/>
      <c r="H166" s="114"/>
      <c r="I166" s="113"/>
      <c r="K166" s="114"/>
      <c r="L166" s="113"/>
    </row>
    <row r="167" spans="5:12" x14ac:dyDescent="0.35">
      <c r="E167" s="114"/>
      <c r="F167" s="113"/>
      <c r="H167" s="114"/>
      <c r="I167" s="113"/>
      <c r="K167" s="114"/>
      <c r="L167" s="113"/>
    </row>
    <row r="168" spans="5:12" x14ac:dyDescent="0.35">
      <c r="E168" s="114"/>
      <c r="F168" s="113"/>
      <c r="H168" s="114"/>
      <c r="I168" s="113"/>
      <c r="K168" s="114"/>
      <c r="L168" s="113"/>
    </row>
    <row r="169" spans="5:12" x14ac:dyDescent="0.35">
      <c r="E169" s="114"/>
      <c r="F169" s="113"/>
      <c r="H169" s="114"/>
      <c r="I169" s="113"/>
      <c r="K169" s="114"/>
      <c r="L169" s="113"/>
    </row>
    <row r="170" spans="5:12" x14ac:dyDescent="0.35">
      <c r="E170" s="114"/>
      <c r="F170" s="113"/>
      <c r="H170" s="114"/>
      <c r="I170" s="113"/>
      <c r="K170" s="114"/>
      <c r="L170" s="113"/>
    </row>
    <row r="171" spans="5:12" x14ac:dyDescent="0.35">
      <c r="E171" s="114"/>
      <c r="F171" s="113"/>
      <c r="H171" s="114"/>
      <c r="I171" s="113"/>
      <c r="K171" s="114"/>
      <c r="L171" s="113"/>
    </row>
    <row r="172" spans="5:12" x14ac:dyDescent="0.35">
      <c r="E172" s="114"/>
      <c r="F172" s="113"/>
      <c r="H172" s="114"/>
      <c r="I172" s="113"/>
      <c r="K172" s="114"/>
      <c r="L172" s="113"/>
    </row>
    <row r="173" spans="5:12" x14ac:dyDescent="0.35">
      <c r="E173" s="114"/>
      <c r="F173" s="113"/>
      <c r="H173" s="114"/>
      <c r="I173" s="113"/>
      <c r="K173" s="114"/>
      <c r="L173" s="113"/>
    </row>
    <row r="174" spans="5:12" x14ac:dyDescent="0.35">
      <c r="E174" s="114"/>
      <c r="F174" s="113"/>
      <c r="H174" s="114"/>
      <c r="I174" s="113"/>
      <c r="K174" s="114"/>
      <c r="L174" s="113"/>
    </row>
    <row r="175" spans="5:12" x14ac:dyDescent="0.35">
      <c r="E175" s="114"/>
      <c r="F175" s="113"/>
      <c r="H175" s="114"/>
      <c r="I175" s="113"/>
      <c r="K175" s="114"/>
      <c r="L175" s="113"/>
    </row>
    <row r="176" spans="5:12" x14ac:dyDescent="0.35">
      <c r="E176" s="114"/>
      <c r="F176" s="113"/>
      <c r="H176" s="114"/>
      <c r="I176" s="113"/>
      <c r="K176" s="114"/>
      <c r="L176" s="113"/>
    </row>
    <row r="177" spans="5:12" x14ac:dyDescent="0.35">
      <c r="E177" s="114"/>
      <c r="F177" s="113"/>
      <c r="H177" s="114"/>
      <c r="I177" s="113"/>
      <c r="K177" s="114"/>
      <c r="L177" s="113"/>
    </row>
    <row r="178" spans="5:12" x14ac:dyDescent="0.35">
      <c r="E178" s="114"/>
      <c r="F178" s="113"/>
      <c r="H178" s="114"/>
      <c r="I178" s="113"/>
      <c r="K178" s="114"/>
      <c r="L178" s="113"/>
    </row>
    <row r="179" spans="5:12" x14ac:dyDescent="0.35">
      <c r="E179" s="114"/>
      <c r="F179" s="113"/>
      <c r="H179" s="114"/>
      <c r="I179" s="113"/>
      <c r="K179" s="114"/>
      <c r="L179" s="113"/>
    </row>
    <row r="180" spans="5:12" x14ac:dyDescent="0.35">
      <c r="E180" s="114"/>
      <c r="F180" s="113"/>
      <c r="H180" s="114"/>
      <c r="I180" s="113"/>
      <c r="K180" s="114"/>
      <c r="L180" s="113"/>
    </row>
    <row r="181" spans="5:12" x14ac:dyDescent="0.35">
      <c r="E181" s="114"/>
      <c r="F181" s="113"/>
      <c r="H181" s="114"/>
      <c r="I181" s="113"/>
      <c r="K181" s="114"/>
      <c r="L181" s="113"/>
    </row>
    <row r="182" spans="5:12" x14ac:dyDescent="0.35">
      <c r="E182" s="114"/>
      <c r="F182" s="113"/>
      <c r="H182" s="114"/>
      <c r="I182" s="113"/>
      <c r="K182" s="114"/>
      <c r="L182" s="113"/>
    </row>
    <row r="183" spans="5:12" x14ac:dyDescent="0.35">
      <c r="E183" s="114"/>
      <c r="F183" s="113"/>
      <c r="H183" s="114"/>
      <c r="I183" s="113"/>
      <c r="K183" s="114"/>
      <c r="L183" s="113"/>
    </row>
    <row r="184" spans="5:12" x14ac:dyDescent="0.35">
      <c r="E184" s="114"/>
      <c r="F184" s="113"/>
      <c r="H184" s="114"/>
      <c r="I184" s="113"/>
      <c r="K184" s="114"/>
      <c r="L184" s="113"/>
    </row>
    <row r="185" spans="5:12" x14ac:dyDescent="0.35">
      <c r="E185" s="114"/>
      <c r="F185" s="113"/>
      <c r="H185" s="114"/>
      <c r="I185" s="113"/>
      <c r="K185" s="114"/>
      <c r="L185" s="113"/>
    </row>
    <row r="186" spans="5:12" x14ac:dyDescent="0.35">
      <c r="E186" s="114"/>
      <c r="F186" s="113"/>
      <c r="H186" s="114"/>
      <c r="I186" s="113"/>
      <c r="K186" s="114"/>
      <c r="L186" s="113"/>
    </row>
    <row r="187" spans="5:12" x14ac:dyDescent="0.35">
      <c r="E187" s="114"/>
      <c r="F187" s="113"/>
      <c r="H187" s="114"/>
      <c r="I187" s="113"/>
      <c r="K187" s="114"/>
      <c r="L187" s="113"/>
    </row>
    <row r="188" spans="5:12" x14ac:dyDescent="0.35">
      <c r="E188" s="114"/>
      <c r="F188" s="113"/>
      <c r="H188" s="114"/>
      <c r="I188" s="113"/>
      <c r="K188" s="114"/>
      <c r="L188" s="113"/>
    </row>
    <row r="189" spans="5:12" x14ac:dyDescent="0.35">
      <c r="E189" s="114"/>
      <c r="F189" s="113"/>
      <c r="H189" s="114"/>
      <c r="I189" s="113"/>
      <c r="K189" s="114"/>
      <c r="L189" s="113"/>
    </row>
    <row r="190" spans="5:12" x14ac:dyDescent="0.35">
      <c r="E190" s="114"/>
      <c r="F190" s="113"/>
      <c r="H190" s="114"/>
      <c r="I190" s="113"/>
      <c r="K190" s="114"/>
      <c r="L190" s="113"/>
    </row>
    <row r="191" spans="5:12" x14ac:dyDescent="0.35">
      <c r="E191" s="114"/>
      <c r="F191" s="113"/>
      <c r="H191" s="114"/>
      <c r="I191" s="113"/>
      <c r="K191" s="114"/>
      <c r="L191" s="113"/>
    </row>
    <row r="192" spans="5:12" x14ac:dyDescent="0.35">
      <c r="E192" s="114"/>
      <c r="F192" s="113"/>
      <c r="H192" s="114"/>
      <c r="I192" s="113"/>
      <c r="K192" s="114"/>
      <c r="L192" s="113"/>
    </row>
    <row r="193" spans="5:12" x14ac:dyDescent="0.35">
      <c r="E193" s="114"/>
      <c r="F193" s="113"/>
      <c r="H193" s="114"/>
      <c r="I193" s="113"/>
      <c r="K193" s="114"/>
      <c r="L193" s="113"/>
    </row>
    <row r="194" spans="5:12" x14ac:dyDescent="0.35">
      <c r="E194" s="114"/>
      <c r="F194" s="113"/>
      <c r="H194" s="114"/>
      <c r="I194" s="113"/>
      <c r="K194" s="114"/>
      <c r="L194" s="113"/>
    </row>
    <row r="195" spans="5:12" x14ac:dyDescent="0.35">
      <c r="E195" s="114"/>
      <c r="F195" s="113"/>
      <c r="H195" s="114"/>
      <c r="I195" s="113"/>
      <c r="K195" s="114"/>
      <c r="L195" s="113"/>
    </row>
    <row r="196" spans="5:12" x14ac:dyDescent="0.35">
      <c r="E196" s="114"/>
      <c r="F196" s="113"/>
      <c r="H196" s="114"/>
      <c r="I196" s="113"/>
      <c r="K196" s="114"/>
      <c r="L196" s="113"/>
    </row>
    <row r="197" spans="5:12" x14ac:dyDescent="0.35">
      <c r="E197" s="114"/>
      <c r="F197" s="113"/>
      <c r="H197" s="114"/>
      <c r="I197" s="113"/>
      <c r="K197" s="114"/>
      <c r="L197" s="113"/>
    </row>
    <row r="198" spans="5:12" x14ac:dyDescent="0.35">
      <c r="E198" s="114"/>
      <c r="F198" s="113"/>
      <c r="H198" s="114"/>
      <c r="I198" s="113"/>
      <c r="K198" s="114"/>
      <c r="L198" s="113"/>
    </row>
    <row r="199" spans="5:12" x14ac:dyDescent="0.35">
      <c r="E199" s="114"/>
      <c r="F199" s="113"/>
      <c r="H199" s="114"/>
      <c r="I199" s="113"/>
      <c r="K199" s="114"/>
      <c r="L199" s="113"/>
    </row>
    <row r="200" spans="5:12" x14ac:dyDescent="0.35">
      <c r="E200" s="114"/>
      <c r="F200" s="113"/>
      <c r="H200" s="114"/>
      <c r="I200" s="113"/>
      <c r="K200" s="114"/>
      <c r="L200" s="113"/>
    </row>
  </sheetData>
  <mergeCells count="21">
    <mergeCell ref="R7:T7"/>
    <mergeCell ref="P5:R5"/>
    <mergeCell ref="D1:T1"/>
    <mergeCell ref="U1:Y1"/>
    <mergeCell ref="D2:T2"/>
    <mergeCell ref="U2:Y2"/>
    <mergeCell ref="D3:T3"/>
    <mergeCell ref="U3:Y3"/>
    <mergeCell ref="I5:K5"/>
    <mergeCell ref="F7:H7"/>
    <mergeCell ref="I7:K7"/>
    <mergeCell ref="L7:N7"/>
    <mergeCell ref="O7:Q7"/>
    <mergeCell ref="E54:T54"/>
    <mergeCell ref="E55:T55"/>
    <mergeCell ref="E56:T56"/>
    <mergeCell ref="F59:H59"/>
    <mergeCell ref="I59:K59"/>
    <mergeCell ref="L59:N59"/>
    <mergeCell ref="O59:Q59"/>
    <mergeCell ref="R59:T59"/>
  </mergeCells>
  <conditionalFormatting sqref="N201:N1048576 K201:K1048576 H201:H1048576">
    <cfRule type="cellIs" dxfId="19" priority="27" operator="greaterThan">
      <formula>0.9</formula>
    </cfRule>
  </conditionalFormatting>
  <conditionalFormatting sqref="Q201:Q1048576 T201:T1048576">
    <cfRule type="cellIs" dxfId="18" priority="26" operator="greaterThan">
      <formula>0.9</formula>
    </cfRule>
  </conditionalFormatting>
  <conditionalFormatting sqref="T46 Q46">
    <cfRule type="cellIs" dxfId="17" priority="7" operator="greaterThan">
      <formula>0.9</formula>
    </cfRule>
  </conditionalFormatting>
  <conditionalFormatting sqref="N46 K46 H46">
    <cfRule type="cellIs" dxfId="16" priority="6" operator="greaterThan">
      <formula>0.9</formula>
    </cfRule>
  </conditionalFormatting>
  <conditionalFormatting sqref="N51:N52 H51:H52 K51:K52">
    <cfRule type="cellIs" dxfId="15" priority="4" operator="greaterThan">
      <formula>0.9</formula>
    </cfRule>
  </conditionalFormatting>
  <conditionalFormatting sqref="Q40">
    <cfRule type="cellIs" dxfId="14" priority="2" operator="greaterThan">
      <formula>0.9</formula>
    </cfRule>
  </conditionalFormatting>
  <conditionalFormatting sqref="Q4:Q7 T4:T7 Q78:Q200 T78:T200 Q57:Q75 T57:T75 Q47:Q50 T47:T50 T9:T42 Q9:Q39 T53 Q53 Q41:Q42">
    <cfRule type="cellIs" dxfId="13" priority="18" operator="greaterThan">
      <formula>0.9</formula>
    </cfRule>
  </conditionalFormatting>
  <conditionalFormatting sqref="H4:H7 K4:K7 N4:N7 K75 K78:K200 H78:H200 N78:N200 H57:H75 N57:N75 K57:K73 H47:H50 K47:K50 N47:N50 K9:K42 H9:H42 N53 K53 H53 N9:N42">
    <cfRule type="cellIs" dxfId="12" priority="17" operator="greaterThan">
      <formula>0.9</formula>
    </cfRule>
  </conditionalFormatting>
  <conditionalFormatting sqref="L74 O74 R74">
    <cfRule type="cellIs" dxfId="11" priority="16" operator="notEqual">
      <formula>0</formula>
    </cfRule>
  </conditionalFormatting>
  <conditionalFormatting sqref="T76 Q76">
    <cfRule type="cellIs" dxfId="10" priority="15" operator="greaterThan">
      <formula>0.9</formula>
    </cfRule>
  </conditionalFormatting>
  <conditionalFormatting sqref="K76 N76 H76">
    <cfRule type="cellIs" dxfId="9" priority="14" operator="greaterThan">
      <formula>0.9</formula>
    </cfRule>
  </conditionalFormatting>
  <conditionalFormatting sqref="T77 Q77">
    <cfRule type="cellIs" dxfId="8" priority="13" operator="greaterThan">
      <formula>0.9</formula>
    </cfRule>
  </conditionalFormatting>
  <conditionalFormatting sqref="K77 N77 H77">
    <cfRule type="cellIs" dxfId="7" priority="12" operator="greaterThan">
      <formula>0.9</formula>
    </cfRule>
  </conditionalFormatting>
  <conditionalFormatting sqref="T43:T44 Q43:Q44">
    <cfRule type="cellIs" dxfId="6" priority="11" operator="greaterThan">
      <formula>0.9</formula>
    </cfRule>
  </conditionalFormatting>
  <conditionalFormatting sqref="N43:N44 K43:K44 H43:H44">
    <cfRule type="cellIs" dxfId="5" priority="10" operator="greaterThan">
      <formula>0.9</formula>
    </cfRule>
  </conditionalFormatting>
  <conditionalFormatting sqref="T45">
    <cfRule type="cellIs" dxfId="4" priority="9" operator="greaterThan">
      <formula>0.9</formula>
    </cfRule>
  </conditionalFormatting>
  <conditionalFormatting sqref="K45 H45">
    <cfRule type="cellIs" dxfId="3" priority="8" operator="greaterThan">
      <formula>0.9</formula>
    </cfRule>
  </conditionalFormatting>
  <conditionalFormatting sqref="Q51:Q52 T51:T52">
    <cfRule type="cellIs" dxfId="2" priority="5" operator="greaterThan">
      <formula>0.9</formula>
    </cfRule>
  </conditionalFormatting>
  <conditionalFormatting sqref="N45">
    <cfRule type="cellIs" dxfId="1" priority="3" operator="greaterThan">
      <formula>0.9</formula>
    </cfRule>
  </conditionalFormatting>
  <conditionalFormatting sqref="Q45">
    <cfRule type="cellIs" dxfId="0" priority="1" operator="greaterThan">
      <formula>0.9</formula>
    </cfRule>
  </conditionalFormatting>
  <printOptions horizontalCentered="1" verticalCentered="1"/>
  <pageMargins left="0.2" right="0.45" top="0.75" bottom="0.75" header="0.3" footer="0.3"/>
  <pageSetup scale="70" orientation="landscape" r:id="rId1"/>
  <headerFooter>
    <oddHeader xml:space="preserve">&amp;R&amp;"-,Regular"MidAmerican Docket No. 13‐0423/13‐0424 (Consol.)
Exhibit B
Page &amp;P of 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88A7-5646-4FEB-8CCD-8D91132C3876}">
  <sheetPr codeName="Sheet5">
    <tabColor theme="3"/>
  </sheetPr>
  <dimension ref="A3:E48"/>
  <sheetViews>
    <sheetView zoomScaleNormal="100" workbookViewId="0">
      <selection activeCell="D43" sqref="D43"/>
    </sheetView>
  </sheetViews>
  <sheetFormatPr defaultColWidth="9.1328125" defaultRowHeight="14.25" outlineLevelCol="1" x14ac:dyDescent="0.45"/>
  <cols>
    <col min="1" max="1" customWidth="true" style="89" width="15.265625" outlineLevel="1" collapsed="false"/>
    <col min="2" max="2" customWidth="true" style="89" width="37.0" collapsed="false"/>
    <col min="3" max="3" customWidth="true" style="89" width="23.0" collapsed="false"/>
    <col min="4" max="4" customWidth="true" style="89" width="21.3984375" collapsed="false"/>
    <col min="5" max="16384" style="89" width="9.1328125" collapsed="false"/>
  </cols>
  <sheetData>
    <row r="3" spans="1:5" ht="28.5" x14ac:dyDescent="0.45">
      <c r="C3" s="99" t="s">
        <v>82</v>
      </c>
      <c r="D3" s="99" t="s">
        <v>83</v>
      </c>
    </row>
    <row r="4" spans="1:5" x14ac:dyDescent="0.45">
      <c r="C4" s="90">
        <v>2021</v>
      </c>
      <c r="D4" s="90">
        <v>2021</v>
      </c>
    </row>
    <row r="5" spans="1:5" x14ac:dyDescent="0.45">
      <c r="A5" s="89" t="s">
        <v>26</v>
      </c>
      <c r="B5" s="91" t="s">
        <v>63</v>
      </c>
    </row>
    <row r="6" spans="1:5" x14ac:dyDescent="0.45">
      <c r="B6" s="96" t="s">
        <v>73</v>
      </c>
      <c r="C6" s="97" t="s">
        <v>74</v>
      </c>
      <c r="D6" s="97" t="s">
        <v>74</v>
      </c>
      <c r="E6" s="96"/>
    </row>
    <row r="7" spans="1:5" x14ac:dyDescent="0.45">
      <c r="B7" s="96" t="s">
        <v>75</v>
      </c>
      <c r="C7" s="97">
        <v>2021</v>
      </c>
      <c r="D7" s="106">
        <v>2021</v>
      </c>
    </row>
    <row r="8" spans="1:5" x14ac:dyDescent="0.45">
      <c r="A8" s="89">
        <v>17802</v>
      </c>
      <c r="B8" s="89" t="s">
        <v>64</v>
      </c>
      <c r="C8" s="101">
        <v>1796084.8099999996</v>
      </c>
      <c r="D8" s="101">
        <v>1655.5961207342461</v>
      </c>
    </row>
    <row r="9" spans="1:5" x14ac:dyDescent="0.45">
      <c r="A9" s="89">
        <v>17808</v>
      </c>
      <c r="B9" s="100" t="s">
        <v>85</v>
      </c>
      <c r="C9" s="102">
        <v>5072601.6000000015</v>
      </c>
      <c r="D9" s="104">
        <v>595.56115354215876</v>
      </c>
    </row>
    <row r="10" spans="1:5" x14ac:dyDescent="0.45">
      <c r="A10" s="89">
        <v>17860</v>
      </c>
      <c r="B10" s="89" t="s">
        <v>66</v>
      </c>
      <c r="C10" s="102">
        <v>29499800</v>
      </c>
      <c r="D10" s="102">
        <v>9599.6495941435878</v>
      </c>
    </row>
    <row r="11" spans="1:5" x14ac:dyDescent="0.45">
      <c r="A11" s="89">
        <v>17857</v>
      </c>
      <c r="B11" s="89" t="s">
        <v>65</v>
      </c>
      <c r="C11" s="102">
        <v>2890863.0299999993</v>
      </c>
      <c r="D11" s="104">
        <v>402.36065888277835</v>
      </c>
    </row>
    <row r="12" spans="1:5" x14ac:dyDescent="0.45">
      <c r="A12" s="89">
        <v>17839</v>
      </c>
      <c r="B12" s="89" t="s">
        <v>69</v>
      </c>
      <c r="C12" s="103">
        <v>72662.74000000002</v>
      </c>
      <c r="D12" s="107">
        <v>28.329348816029146</v>
      </c>
    </row>
    <row r="13" spans="1:5" x14ac:dyDescent="0.45">
      <c r="B13" s="92" t="s">
        <v>9</v>
      </c>
      <c r="C13" s="105">
        <v>39332012</v>
      </c>
      <c r="D13" s="105">
        <v>12281</v>
      </c>
    </row>
    <row r="14" spans="1:5" x14ac:dyDescent="0.45">
      <c r="D14" s="104"/>
    </row>
    <row r="15" spans="1:5" x14ac:dyDescent="0.45">
      <c r="B15" s="96"/>
      <c r="C15" s="96" t="s">
        <v>74</v>
      </c>
      <c r="D15" s="108" t="s">
        <v>74</v>
      </c>
    </row>
    <row r="16" spans="1:5" x14ac:dyDescent="0.45">
      <c r="B16" s="96" t="s">
        <v>76</v>
      </c>
      <c r="C16" s="97">
        <v>2021</v>
      </c>
      <c r="D16" s="108">
        <v>2021</v>
      </c>
    </row>
    <row r="17" spans="1:4" x14ac:dyDescent="0.45">
      <c r="A17" s="89">
        <v>17805</v>
      </c>
      <c r="B17" s="89" t="s">
        <v>67</v>
      </c>
      <c r="C17" s="101">
        <v>18803398.499999993</v>
      </c>
      <c r="D17" s="101">
        <v>6688.6692676233215</v>
      </c>
    </row>
    <row r="18" spans="1:4" x14ac:dyDescent="0.45">
      <c r="A18" s="89">
        <v>17817</v>
      </c>
      <c r="B18" s="95" t="s">
        <v>77</v>
      </c>
      <c r="C18" s="102">
        <v>51222450.799999982</v>
      </c>
      <c r="D18" s="102">
        <v>9953.8910543635029</v>
      </c>
    </row>
    <row r="19" spans="1:4" x14ac:dyDescent="0.45">
      <c r="A19" s="89">
        <v>17804</v>
      </c>
      <c r="B19" s="95" t="s">
        <v>68</v>
      </c>
      <c r="C19" s="102">
        <v>25806069</v>
      </c>
      <c r="D19" s="102">
        <v>5527.0136729291426</v>
      </c>
    </row>
    <row r="20" spans="1:4" x14ac:dyDescent="0.45">
      <c r="A20" s="89">
        <v>17813</v>
      </c>
      <c r="B20" s="100" t="s">
        <v>86</v>
      </c>
      <c r="C20" s="103">
        <v>2521099.6000000006</v>
      </c>
      <c r="D20" s="107">
        <v>553.30970880307336</v>
      </c>
    </row>
    <row r="21" spans="1:4" x14ac:dyDescent="0.45">
      <c r="B21" s="92" t="s">
        <v>9</v>
      </c>
      <c r="C21" s="105">
        <v>98353018</v>
      </c>
      <c r="D21" s="105">
        <v>22723</v>
      </c>
    </row>
    <row r="22" spans="1:4" x14ac:dyDescent="0.45">
      <c r="D22" s="104"/>
    </row>
    <row r="23" spans="1:4" x14ac:dyDescent="0.45">
      <c r="B23" s="92" t="s">
        <v>78</v>
      </c>
      <c r="C23" s="105">
        <v>137685030</v>
      </c>
      <c r="D23" s="105">
        <v>35004</v>
      </c>
    </row>
    <row r="24" spans="1:4" x14ac:dyDescent="0.45">
      <c r="D24" s="104"/>
    </row>
    <row r="25" spans="1:4" x14ac:dyDescent="0.45">
      <c r="B25" s="96"/>
      <c r="C25" s="96" t="s">
        <v>74</v>
      </c>
      <c r="D25" s="108" t="s">
        <v>74</v>
      </c>
    </row>
    <row r="26" spans="1:4" x14ac:dyDescent="0.45">
      <c r="B26" s="96" t="s">
        <v>79</v>
      </c>
      <c r="C26" s="97">
        <v>2021</v>
      </c>
      <c r="D26" s="106">
        <v>2021</v>
      </c>
    </row>
    <row r="27" spans="1:4" x14ac:dyDescent="0.45">
      <c r="A27" s="89">
        <v>17831</v>
      </c>
      <c r="B27" s="100" t="s">
        <v>87</v>
      </c>
      <c r="C27" s="102">
        <v>489100</v>
      </c>
      <c r="D27" s="102">
        <v>42216.69751943725</v>
      </c>
    </row>
    <row r="28" spans="1:4" x14ac:dyDescent="0.45">
      <c r="A28" s="89">
        <v>17836</v>
      </c>
      <c r="B28" s="89" t="s">
        <v>70</v>
      </c>
      <c r="C28" s="103">
        <v>2770016</v>
      </c>
      <c r="D28" s="103">
        <v>230811.58550811585</v>
      </c>
    </row>
    <row r="29" spans="1:4" x14ac:dyDescent="0.45">
      <c r="B29" s="92" t="s">
        <v>80</v>
      </c>
      <c r="C29" s="105">
        <v>3259116</v>
      </c>
      <c r="D29" s="102">
        <v>273028</v>
      </c>
    </row>
    <row r="30" spans="1:4" x14ac:dyDescent="0.45">
      <c r="C30" s="104"/>
      <c r="D30" s="104"/>
    </row>
    <row r="31" spans="1:4" x14ac:dyDescent="0.45">
      <c r="B31" s="92" t="s">
        <v>81</v>
      </c>
      <c r="C31" s="105">
        <v>140944146</v>
      </c>
      <c r="D31" s="105">
        <v>308033</v>
      </c>
    </row>
    <row r="34" spans="1:4" x14ac:dyDescent="0.45">
      <c r="B34" s="98" t="s">
        <v>71</v>
      </c>
      <c r="C34" s="96" t="s">
        <v>74</v>
      </c>
      <c r="D34" s="96" t="s">
        <v>74</v>
      </c>
    </row>
    <row r="35" spans="1:4" x14ac:dyDescent="0.45">
      <c r="B35" s="96" t="s">
        <v>75</v>
      </c>
      <c r="C35" s="106">
        <v>2021</v>
      </c>
      <c r="D35" s="97">
        <v>2021</v>
      </c>
    </row>
    <row r="36" spans="1:4" x14ac:dyDescent="0.45">
      <c r="A36" s="89">
        <v>98856</v>
      </c>
      <c r="B36" s="95" t="s">
        <v>64</v>
      </c>
      <c r="C36" s="101">
        <v>327824.71343999996</v>
      </c>
      <c r="D36" s="101">
        <v>5417.2678193624306</v>
      </c>
    </row>
    <row r="37" spans="1:4" x14ac:dyDescent="0.45">
      <c r="A37" s="89">
        <v>98855</v>
      </c>
      <c r="B37" s="100" t="s">
        <v>85</v>
      </c>
      <c r="C37" s="102">
        <v>234009.59999999998</v>
      </c>
      <c r="D37" s="104">
        <v>641.12219178082182</v>
      </c>
    </row>
    <row r="38" spans="1:4" x14ac:dyDescent="0.45">
      <c r="A38" s="89">
        <v>98854</v>
      </c>
      <c r="B38" s="89" t="s">
        <v>69</v>
      </c>
      <c r="C38" s="103">
        <v>36646</v>
      </c>
      <c r="D38" s="107">
        <v>381.02466793168878</v>
      </c>
    </row>
    <row r="39" spans="1:4" x14ac:dyDescent="0.45">
      <c r="B39" s="92" t="s">
        <v>9</v>
      </c>
      <c r="C39" s="105">
        <v>598480</v>
      </c>
      <c r="D39" s="105">
        <v>6439</v>
      </c>
    </row>
    <row r="40" spans="1:4" x14ac:dyDescent="0.45">
      <c r="C40" s="104"/>
      <c r="D40" s="104"/>
    </row>
    <row r="41" spans="1:4" x14ac:dyDescent="0.45">
      <c r="B41" s="96"/>
      <c r="C41" s="108" t="s">
        <v>74</v>
      </c>
      <c r="D41" s="108" t="s">
        <v>74</v>
      </c>
    </row>
    <row r="42" spans="1:4" x14ac:dyDescent="0.45">
      <c r="B42" s="96" t="s">
        <v>76</v>
      </c>
      <c r="C42" s="108">
        <v>2021</v>
      </c>
      <c r="D42" s="108">
        <v>2021</v>
      </c>
    </row>
    <row r="43" spans="1:4" x14ac:dyDescent="0.45">
      <c r="A43" s="89">
        <v>98858</v>
      </c>
      <c r="B43" s="89" t="s">
        <v>67</v>
      </c>
      <c r="C43" s="101">
        <v>63077.788800000009</v>
      </c>
      <c r="D43" s="109">
        <v>780.24950676266394</v>
      </c>
    </row>
    <row r="44" spans="1:4" x14ac:dyDescent="0.45">
      <c r="A44" s="89">
        <v>98859</v>
      </c>
      <c r="B44" s="89" t="s">
        <v>77</v>
      </c>
      <c r="C44" s="102">
        <v>208161.51560000004</v>
      </c>
      <c r="D44" s="102">
        <v>2187.645709308516</v>
      </c>
    </row>
    <row r="45" spans="1:4" x14ac:dyDescent="0.45">
      <c r="A45" s="89">
        <v>98850</v>
      </c>
      <c r="B45" s="100" t="s">
        <v>86</v>
      </c>
      <c r="C45" s="103">
        <v>253750</v>
      </c>
      <c r="D45" s="103">
        <v>3863.8756320948887</v>
      </c>
    </row>
    <row r="46" spans="1:4" x14ac:dyDescent="0.45">
      <c r="B46" s="92" t="s">
        <v>9</v>
      </c>
      <c r="C46" s="105">
        <v>524989</v>
      </c>
      <c r="D46" s="105">
        <v>6832</v>
      </c>
    </row>
    <row r="47" spans="1:4" x14ac:dyDescent="0.45">
      <c r="C47" s="104"/>
      <c r="D47" s="104"/>
    </row>
    <row r="48" spans="1:4" x14ac:dyDescent="0.45">
      <c r="B48" s="92" t="s">
        <v>81</v>
      </c>
      <c r="C48" s="105">
        <v>1123470</v>
      </c>
      <c r="D48" s="105">
        <v>13271</v>
      </c>
    </row>
  </sheetData>
  <pageMargins left="0.7" right="0.7" top="0.75" bottom="0.75" header="0.3" footer="0.3"/>
  <pageSetup scale="47" fitToWidth="2" orientation="landscape" r:id="rId1"/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>rdw</Reviewed_x0020_By>
    <Comments xmlns="41B0BF35-30BF-46B2-B31C-608546DD1474" xsi:nil="true"/>
    <Assigned_x0020_to0 xmlns="41B0BF35-30BF-46B2-B31C-608546DD14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F3CBF-84CF-499E-8750-D380CDE2B253}"/>
</file>

<file path=customXml/itemProps2.xml><?xml version="1.0" encoding="utf-8"?>
<ds:datastoreItem xmlns:ds="http://schemas.openxmlformats.org/officeDocument/2006/customXml" ds:itemID="{F7C9A283-A017-478A-9E45-CE87A4673469}">
  <ds:schemaRefs>
    <ds:schemaRef ds:uri="7cbfcd47-330a-402d-acf6-02884608f543"/>
    <ds:schemaRef ds:uri="210fdf79-61bb-4898-a451-e04c747aa722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A731715-97EE-434D-8EDF-31D5C38D7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Elec Gross</vt:lpstr>
      <vt:lpstr>Elec Net</vt:lpstr>
      <vt:lpstr>Gas Gross</vt:lpstr>
      <vt:lpstr>Gas Net</vt:lpstr>
      <vt:lpstr>Gas Actual</vt:lpstr>
      <vt:lpstr>Elec Actual</vt:lpstr>
      <vt:lpstr>Net</vt:lpstr>
      <vt:lpstr>'Elec Actual'!Print_Area</vt:lpstr>
      <vt:lpstr>'Elec Gross'!Print_Area</vt:lpstr>
      <vt:lpstr>'Elec Net'!Print_Area</vt:lpstr>
      <vt:lpstr>'Gas Actual'!Print_Area</vt:lpstr>
      <vt:lpstr>'Gas Gross'!Print_Area</vt:lpstr>
      <vt:lpstr>'Gas Net'!Print_Area</vt:lpstr>
      <vt:lpstr>Net!Print_Titles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2004-04-20T20:14:47Z</dcterms:created>
  <dc:creator>Administrator</dc:creator>
  <cp:lastModifiedBy>Bekhit, Ahmed</cp:lastModifiedBy>
  <cp:lastPrinted>2022-03-25T14:28:31Z</cp:lastPrinted>
  <dcterms:modified xsi:type="dcterms:W3CDTF">2022-03-25T15:16:48Z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Guid">
    <vt:lpwstr>9baf80ca-847a-4967-975a-c145d8db251a</vt:lpwstr>
  </property>
  <property fmtid="{D5CDD505-2E9C-101B-9397-08002B2CF9AE}" pid="4" name="Workbook id">
    <vt:lpwstr>9545f90b-974b-4ebe-a7a6-cbdca170ca6e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